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wmf" ContentType="image/x-wmf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omments4.xml" ContentType="application/vnd.openxmlformats-officedocument.spreadsheetml.comments+xml"/>
  <Override PartName="/xl/drawings/drawing4.xml" ContentType="application/vnd.openxmlformats-officedocument.drawing+xml"/>
  <Override PartName="/xl/comments5.xml" ContentType="application/vnd.openxmlformats-officedocument.spreadsheetml.comment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10.xml" ContentType="application/vnd.openxmlformats-officedocument.drawingml.chart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5370" yWindow="105" windowWidth="14805" windowHeight="8010" tabRatio="948"/>
  </bookViews>
  <sheets>
    <sheet name="Sign" sheetId="1" r:id="rId1"/>
    <sheet name="BS" sheetId="42" state="hidden" r:id="rId2"/>
    <sheet name="PL" sheetId="43" state="hidden" r:id="rId3"/>
    <sheet name="MR Summary" sheetId="41" r:id="rId4"/>
    <sheet name="Contents" sheetId="2" r:id="rId5"/>
    <sheet name="1-1) 자산개요" sheetId="3" r:id="rId6"/>
    <sheet name="1-2) 리츠개요" sheetId="4" r:id="rId7"/>
    <sheet name="1-3) 보험가입현황" sheetId="5" r:id="rId8"/>
    <sheet name="2.임대현황_공실현황" sheetId="8" state="hidden" r:id="rId9"/>
    <sheet name="2-1) Rent Roll" sheetId="25" r:id="rId10"/>
    <sheet name="2-2) Stacking Plan" sheetId="26" r:id="rId11"/>
    <sheet name="2-3) 신규, 재계약, 만료 현황" sheetId="27" r:id="rId12"/>
    <sheet name="2-4) 청구수납현황" sheetId="28" r:id="rId13"/>
    <sheet name="2-5) 임대시장 현황" sheetId="29" r:id="rId14"/>
    <sheet name="3-1) 재무상태표" sheetId="30" r:id="rId15"/>
    <sheet name="3-2) 손익계산서(월간)" sheetId="31" r:id="rId16"/>
    <sheet name="3-3) 손익계산서(누적)" sheetId="34" r:id="rId17"/>
    <sheet name="3-4) 예산-실적 비교" sheetId="32" r:id="rId18"/>
    <sheet name="3.재무성과분석_성과분석(수입비용현황2)" sheetId="33" state="hidden" r:id="rId19"/>
    <sheet name="4-1) 관리조직도" sheetId="17" r:id="rId20"/>
    <sheet name="4-2) 관리비용 세부" sheetId="19" r:id="rId21"/>
    <sheet name="4-3) 수도광열비 분석" sheetId="35" r:id="rId22"/>
    <sheet name="4-4) 법정검사, 보수 및 CAPEX내역" sheetId="36" r:id="rId23"/>
    <sheet name="4-5) 임차인서비스요청" sheetId="37" r:id="rId24"/>
    <sheet name="별첨1_질권설정 현황" sheetId="38" r:id="rId25"/>
    <sheet name="별첨2_연간 시설점검계획" sheetId="39" r:id="rId26"/>
    <sheet name="별첨3_장기수선충당금 현황" sheetId="40" r:id="rId27"/>
  </sheets>
  <definedNames>
    <definedName name="_________________PL7" hidden="1">{#N/A,#N/A,TRUE,"대 차 대 조 표"}</definedName>
    <definedName name="________________PL7" hidden="1">{#N/A,#N/A,TRUE,"대 차 대 조 표"}</definedName>
    <definedName name="_______________PL7" hidden="1">{#N/A,#N/A,TRUE,"대 차 대 조 표"}</definedName>
    <definedName name="______________PL7" hidden="1">{#N/A,#N/A,TRUE,"대 차 대 조 표"}</definedName>
    <definedName name="_____________PL7" hidden="1">{#N/A,#N/A,TRUE,"대 차 대 조 표"}</definedName>
    <definedName name="____________PL7" hidden="1">{#N/A,#N/A,TRUE,"대 차 대 조 표"}</definedName>
    <definedName name="___________PL7" hidden="1">{#N/A,#N/A,TRUE,"대 차 대 조 표"}</definedName>
    <definedName name="__________PL7" hidden="1">{#N/A,#N/A,TRUE,"대 차 대 조 표"}</definedName>
    <definedName name="________PL7" hidden="1">{#N/A,#N/A,TRUE,"대 차 대 조 표"}</definedName>
    <definedName name="_______PL7" hidden="1">{#N/A,#N/A,TRUE,"대 차 대 조 표"}</definedName>
    <definedName name="______PL7" hidden="1">{#N/A,#N/A,TRUE,"대 차 대 조 표"}</definedName>
    <definedName name="_____PL7" hidden="1">{#N/A,#N/A,TRUE,"대 차 대 조 표"}</definedName>
    <definedName name="____PL7" hidden="1">{#N/A,#N/A,TRUE,"대 차 대 조 표"}</definedName>
    <definedName name="___10">#REF!</definedName>
    <definedName name="___11">#REF!</definedName>
    <definedName name="___6">#REF!</definedName>
    <definedName name="___7">#REF!</definedName>
    <definedName name="___8">#REF!</definedName>
    <definedName name="___9">#REF!</definedName>
    <definedName name="___PL7" hidden="1">{#N/A,#N/A,TRUE,"대 차 대 조 표"}</definedName>
    <definedName name="___xlfn.BAHTTEXT" hidden="1">#NAME?</definedName>
    <definedName name="__10">#REF!</definedName>
    <definedName name="__11">#REF!</definedName>
    <definedName name="__123Graph_D" hidden="1">#REF!</definedName>
    <definedName name="__6">#REF!</definedName>
    <definedName name="__7">#REF!</definedName>
    <definedName name="__8">#REF!</definedName>
    <definedName name="__9">#REF!</definedName>
    <definedName name="__C">#REF!</definedName>
    <definedName name="__PL7" hidden="1">{#N/A,#N/A,TRUE,"대 차 대 조 표"}</definedName>
    <definedName name="__xlfn.BAHTTEXT" hidden="1">#NAME?</definedName>
    <definedName name="_1">#N/A</definedName>
    <definedName name="_10">#N/A</definedName>
    <definedName name="_11">#N/A</definedName>
    <definedName name="_12">#N/A</definedName>
    <definedName name="_13">#N/A</definedName>
    <definedName name="_14">#N/A</definedName>
    <definedName name="_15">#N/A</definedName>
    <definedName name="_16">#N/A</definedName>
    <definedName name="_17">#N/A</definedName>
    <definedName name="_18">#N/A</definedName>
    <definedName name="_19">#N/A</definedName>
    <definedName name="_2">#N/A</definedName>
    <definedName name="_20">#N/A</definedName>
    <definedName name="_21">#N/A</definedName>
    <definedName name="_22">#N/A</definedName>
    <definedName name="_23">#N/A</definedName>
    <definedName name="_24">#N/A</definedName>
    <definedName name="_25">#N/A</definedName>
    <definedName name="_26">#N/A</definedName>
    <definedName name="_27">#N/A</definedName>
    <definedName name="_28">#N/A</definedName>
    <definedName name="_29">#N/A</definedName>
    <definedName name="_3">#N/A</definedName>
    <definedName name="_30">#N/A</definedName>
    <definedName name="_31">#N/A</definedName>
    <definedName name="_32">#N/A</definedName>
    <definedName name="_33">#N/A</definedName>
    <definedName name="_34">#N/A</definedName>
    <definedName name="_35">#N/A</definedName>
    <definedName name="_36">#N/A</definedName>
    <definedName name="_37">#N/A</definedName>
    <definedName name="_38">#N/A</definedName>
    <definedName name="_39">#N/A</definedName>
    <definedName name="_4">#N/A</definedName>
    <definedName name="_40">#N/A</definedName>
    <definedName name="_41">#N/A</definedName>
    <definedName name="_42">#N/A</definedName>
    <definedName name="_43">#N/A</definedName>
    <definedName name="_44">#N/A</definedName>
    <definedName name="_45">#N/A</definedName>
    <definedName name="_46">#N/A</definedName>
    <definedName name="_47">#N/A</definedName>
    <definedName name="_48">#N/A</definedName>
    <definedName name="_49">#N/A</definedName>
    <definedName name="_5">#N/A</definedName>
    <definedName name="_50">#N/A</definedName>
    <definedName name="_51">#N/A</definedName>
    <definedName name="_52">#N/A</definedName>
    <definedName name="_53">#N/A</definedName>
    <definedName name="_54">#N/A</definedName>
    <definedName name="_55">#N/A</definedName>
    <definedName name="_56">#N/A</definedName>
    <definedName name="_57">#N/A</definedName>
    <definedName name="_58">#N/A</definedName>
    <definedName name="_59">#N/A</definedName>
    <definedName name="_6">#N/A</definedName>
    <definedName name="_60">#N/A</definedName>
    <definedName name="_61">#N/A</definedName>
    <definedName name="_62">#N/A</definedName>
    <definedName name="_63">#N/A</definedName>
    <definedName name="_64">#N/A</definedName>
    <definedName name="_65">#N/A</definedName>
    <definedName name="_66">#N/A</definedName>
    <definedName name="_67">#N/A</definedName>
    <definedName name="_68">#N/A</definedName>
    <definedName name="_69">#N/A</definedName>
    <definedName name="_7">#N/A</definedName>
    <definedName name="_70">#N/A</definedName>
    <definedName name="_71">#N/A</definedName>
    <definedName name="_72">#N/A</definedName>
    <definedName name="_73">#N/A</definedName>
    <definedName name="_74">#N/A</definedName>
    <definedName name="_75">#N/A</definedName>
    <definedName name="_76">#N/A</definedName>
    <definedName name="_77">#N/A</definedName>
    <definedName name="_78">#N/A</definedName>
    <definedName name="_79">#N/A</definedName>
    <definedName name="_8">#N/A</definedName>
    <definedName name="_80">#N/A</definedName>
    <definedName name="_81">#N/A</definedName>
    <definedName name="_82">#N/A</definedName>
    <definedName name="_83">#N/A</definedName>
    <definedName name="_84">#N/A</definedName>
    <definedName name="_85">#N/A</definedName>
    <definedName name="_86">#N/A</definedName>
    <definedName name="_87">#N/A</definedName>
    <definedName name="_88">#N/A</definedName>
    <definedName name="_89">#N/A</definedName>
    <definedName name="_9">#N/A</definedName>
    <definedName name="_90">#N/A</definedName>
    <definedName name="_91">#N/A</definedName>
    <definedName name="_92">#N/A</definedName>
    <definedName name="_93">#N/A</definedName>
    <definedName name="_94">#N/A</definedName>
    <definedName name="_95">#N/A</definedName>
    <definedName name="_96">#N/A</definedName>
    <definedName name="_97">#N/A</definedName>
    <definedName name="_98">#N/A</definedName>
    <definedName name="_99">#N/A</definedName>
    <definedName name="_C">#REF!</definedName>
    <definedName name="_xlnm._FilterDatabase" localSheetId="9" hidden="1">'2-1) Rent Roll'!$A$6:$AN$99</definedName>
    <definedName name="_xlnm._FilterDatabase" localSheetId="12" hidden="1">'2-4) 청구수납현황'!$A$14:$U$316</definedName>
    <definedName name="_xlnm._FilterDatabase" localSheetId="24" hidden="1">'별첨1_질권설정 현황'!$A$7:$O$67</definedName>
    <definedName name="_jyr6" hidden="1">{#N/A,#N/A,TRUE,"일반적사항";#N/A,#N/A,TRUE,"주요재무자료";#N/A,#N/A,TRUE,"표지";#N/A,#N/A,TRUE,"총괄표";#N/A,#N/A,TRUE,"1호 과표세액";#N/A,#N/A,TRUE,"2호 서식";#N/A,#N/A,TRUE,"2호부표 최저한세";#N/A,#N/A,TRUE,"3(1)호 공제감면";#N/A,#N/A,TRUE,"3(1) 부1 공제감면";#N/A,#N/A,TRUE,"3(1) 부3 세액조정";#N/A,#N/A,TRUE,"3(1) 부4 공제감면";#N/A,#N/A,TRUE,"3(1) 부6 추가납부";#N/A,#N/A,TRUE,"조8호 기술인력";#N/A,#N/A,TRUE,"3(1)부7 기업합리";#N/A,#N/A,TRUE,"3(2)호 가산세";#N/A,#N/A,TRUE,"3(2)호 가산세";#N/A,#N/A,TRUE,"3(3)호(갑) 원천납부";#N/A,#N/A,TRUE,"5호 농어촌";#N/A,#N/A,TRUE,"5호2 농감면(갑)";#N/A,#N/A,TRUE,"5호2 농감면(을)";#N/A,#N/A,TRUE,"6호 소득금액";#N/A,#N/A,TRUE,"6호 첨부(익)";#N/A,#N/A,TRUE,"6호 첨부(손)";#N/A,#N/A,TRUE,"6-1호 수입금액";#N/A,#N/A,TRUE,"6-2(4)호 해외시장";#N/A,#N/A,TRUE,"6-2(6)호 해외사업";#N/A,#N/A,TRUE,"6-2(7)호 해외투자";#N/A,#N/A,TRUE,"6-2(12)호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자본적지출";#N/A,#N/A,TRUE,"6-7호 가지급금(갑)";#N/A,#N/A,TRUE,"6-7호 가지급(을)";#N/A,#N/A,TRUE,"6-10호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자본금(을)";#N/A,#N/A,TRUE,"10(2)호 소득공제";#N/A,#N/A,TRUE,"10(3)호 주요계정";#N/A,#N/A,TRUE,"10(3)호 부표";#N/A,#N/A,TRUE,"10(4)호 조정수입";#N/A,#N/A,TRUE,"10(4)호 소득구분";#N/A,#N/A,TRUE,"12호 중소검토";#N/A,#N/A,TRUE,"13호 비상장";#N/A,#N/A,TRUE,"14(1)호 갑 주식";#N/A,#N/A,TRUE,"59호 해외특수";#N/A,#N/A,TRUE,"60호 갑 적정유보";#N/A,#N/A,TRUE,"60호 을 적정유보";#N/A,#N/A,TRUE,"요약 BS";#N/A,#N/A,TRUE,"요약 PL";#N/A,#N/A,TRUE,"요약원가";#N/A,#N/A,TRUE,"요약RE"}</definedName>
    <definedName name="_Key1" hidden="1">#REF!</definedName>
    <definedName name="_Order1" hidden="1">255</definedName>
    <definedName name="_Order2" hidden="1">255</definedName>
    <definedName name="_PL7" hidden="1">{#N/A,#N/A,TRUE,"대 차 대 조 표"}</definedName>
    <definedName name="_Sort" hidden="1">#REF!</definedName>
    <definedName name="_Table1_In1" hidden="1">#REF!</definedName>
    <definedName name="_Table1_Out" hidden="1">#REF!</definedName>
    <definedName name="_Table2_In1" hidden="1">#REF!</definedName>
    <definedName name="_Table2_Out" hidden="1">#REF!</definedName>
    <definedName name="\a">#N/A</definedName>
    <definedName name="\b">#N/A</definedName>
    <definedName name="\c">#N/A</definedName>
    <definedName name="\d">#N/A</definedName>
    <definedName name="\e">#N/A</definedName>
    <definedName name="\f">#N/A</definedName>
    <definedName name="\g">#N/A</definedName>
    <definedName name="\h">#N/A</definedName>
    <definedName name="\i">#N/A</definedName>
    <definedName name="\j">#N/A</definedName>
    <definedName name="\k">#N/A</definedName>
    <definedName name="\l">#N/A</definedName>
    <definedName name="\m">#N/A</definedName>
    <definedName name="\n">#N/A</definedName>
    <definedName name="\o">#N/A</definedName>
    <definedName name="\p">#N/A</definedName>
    <definedName name="\q">#REF!</definedName>
    <definedName name="\r">#N/A</definedName>
    <definedName name="\s">#N/A</definedName>
    <definedName name="\u">#N/A</definedName>
    <definedName name="\v">#N/A</definedName>
    <definedName name="\x">#N/A</definedName>
    <definedName name="\y">#N/A</definedName>
    <definedName name="\z">#N/A</definedName>
    <definedName name="A">#REF!</definedName>
    <definedName name="A_I">#REF!</definedName>
    <definedName name="A_I1">#REF!</definedName>
    <definedName name="A_I2">#REF!</definedName>
    <definedName name="A_I3">#REF!</definedName>
    <definedName name="A_I4">#REF!</definedName>
    <definedName name="A_P">#REF!</definedName>
    <definedName name="A315yoo1">#REF!</definedName>
    <definedName name="AAA_DOCTOPS" hidden="1">"AAA_SET"</definedName>
    <definedName name="AAA_duser" hidden="1">"OFF"</definedName>
    <definedName name="aab" hidden="1">{#N/A,#N/A,FALSE,"동부"}</definedName>
    <definedName name="AAB_Addin5" hidden="1">"AAB_Description for addin 5,Description for addin 5,Description for addin 5,Description for addin 5,Description for addin 5,Description for addin 5"</definedName>
    <definedName name="ab" hidden="1">1</definedName>
    <definedName name="Access_Button" hidden="1">"종합사번1999년_99년02월_퇴사__List"</definedName>
    <definedName name="AccessDatabase" hidden="1">"C:\My Documents\사번\종합사번1999년.mdb"</definedName>
    <definedName name="ADSDF" hidden="1">{#N/A,#N/A,TRUE,"Y생산";#N/A,#N/A,TRUE,"Y판매";#N/A,#N/A,TRUE,"Y총물량";#N/A,#N/A,TRUE,"Y능력";#N/A,#N/A,TRUE,"YKD"}</definedName>
    <definedName name="anscount" hidden="1">2</definedName>
    <definedName name="app.3.2.2" hidden="1">{#N/A,#N/A,FALSE,"동부"}</definedName>
    <definedName name="App3.2.2" hidden="1">{#N/A,#N/A,TRUE,"대 차 대 조 표"}</definedName>
    <definedName name="AS2DocOpenMode" hidden="1">"AS2DocumentEdit"</definedName>
    <definedName name="B">#REF!</definedName>
    <definedName name="B_I">#REF!</definedName>
    <definedName name="B_I1">#REF!</definedName>
    <definedName name="B_I2">#REF!</definedName>
    <definedName name="B_I3">#REF!</definedName>
    <definedName name="B_I4">#REF!</definedName>
    <definedName name="B_P">#REF!</definedName>
    <definedName name="ban" hidden="1">{#N/A,#N/A,FALSE,"5YRASSPl - consol'd";#N/A,#N/A,FALSE,"5YRASSPl - hotel";#N/A,#N/A,FALSE,"5YRASSPl - excl htl";#N/A,#N/A,FALSE,"VarReport";#N/A,#N/A,FALSE,"Sensitivity";#N/A,#N/A,FALSE,"House View ";#N/A,#N/A,FALSE,"KPI"}</definedName>
    <definedName name="BASE">#REF!</definedName>
    <definedName name="Beachwood" hidden="1">{"p",#N/A,FALSE,"Sheet1";"p 2",#N/A,FALSE,"Sheet1";"p 3",#N/A,FALSE,"Sheet1"}</definedName>
    <definedName name="Beachwood_1" hidden="1">{"p",#N/A,FALSE,"Sheet1";"p 2",#N/A,FALSE,"Sheet1";"p 3",#N/A,FALSE,"Sheet1"}</definedName>
    <definedName name="BU별" hidden="1">{#N/A,#N/A,FALSE,"동부"}</definedName>
    <definedName name="C_">#REF!</definedName>
    <definedName name="CATEGORY">#N/A</definedName>
    <definedName name="cf" hidden="1">#REF!</definedName>
    <definedName name="CF요인" hidden="1">#REF!</definedName>
    <definedName name="CONSTANT">#REF!</definedName>
    <definedName name="D">#REF!</definedName>
    <definedName name="_xlnm.Database">#N/A</definedName>
    <definedName name="DDDDDDDDDD" hidden="1">{#N/A,#N/A,TRUE,"Y생산";#N/A,#N/A,TRUE,"Y판매";#N/A,#N/A,TRUE,"Y총물량";#N/A,#N/A,TRUE,"Y능력";#N/A,#N/A,TRUE,"YKD"}</definedName>
    <definedName name="DETAIL">#N/A</definedName>
    <definedName name="DFL" hidden="1">{#N/A,#N/A,TRUE,"Capex Summ";#N/A,#N/A,TRUE,"Essential Works.tw";#N/A,#N/A,TRUE,"Desirable Works.tw";#N/A,#N/A,TRUE,"Essential Works.rt";#N/A,#N/A,TRUE,"Desirable Works.rt";#N/A,#N/A,TRUE,"Mthly";#N/A,#N/A,TRUE,"Essential Works.ht";#N/A,#N/A,TRUE,"Desirable Works.ht";#N/A,#N/A,TRUE,"Incentives"}</definedName>
    <definedName name="DNFL" hidden="1">{#N/A,#N/A,FALSE,"동부"}</definedName>
    <definedName name="DOGUB">#REF!</definedName>
    <definedName name="DPFLSDPFL" hidden="1">{#N/A,#N/A,FALSE,"530&amp;120Consol";#N/A,#N/A,FALSE,"530aplan";#N/A,#N/A,FALSE,"120aplan";#N/A,#N/A,FALSE,"mgmt report";#N/A,#N/A,FALSE,"variance";#N/A,#N/A,FALSE,"SENSITIVE 9899";#N/A,#N/A,FALSE,"Letup 530";#N/A,#N/A,FALSE,"LETUP 120";#N/A,#N/A,FALSE,"Rent Review";#N/A,#N/A,FALSE,"Option";#N/A,#N/A,FALSE,"530 capex summ";#N/A,#N/A,FALSE,"120 capex summ";#N/A,#N/A,FALSE,"mtlhy cashflow";#N/A,#N/A,FALSE,"530 Collins E&amp;D";#N/A,#N/A,FALSE,"120 King E&amp;D";#N/A,#N/A,FALSE,"House View  530std  "}</definedName>
    <definedName name="dsfkljsd" hidden="1">{#N/A,#N/A,TRUE,"Capex Summ";#N/A,#N/A,TRUE,"Essential Works.tw";#N/A,#N/A,TRUE,"Desirable Works.tw";#N/A,#N/A,TRUE,"Essential Works.rt";#N/A,#N/A,TRUE,"Desirable Works.rt";#N/A,#N/A,TRUE,"Mthly";#N/A,#N/A,TRUE,"Essential Works.ht";#N/A,#N/A,TRUE,"Desirable Works.ht";#N/A,#N/A,TRUE,"Incentives"}</definedName>
    <definedName name="dsgsdgsd" hidden="1">{#N/A,#N/A,FALSE,"5YRASSPl - consol'd";#N/A,#N/A,FALSE,"5YRASSPl - hotel";#N/A,#N/A,FALSE,"5YRASSPl - excl htl";#N/A,#N/A,FALSE,"VarReport";#N/A,#N/A,FALSE,"Sensitivity";#N/A,#N/A,FALSE,"House View ";#N/A,#N/A,FALSE,"KPI"}</definedName>
    <definedName name="E">#REF!</definedName>
    <definedName name="F">#N/A</definedName>
    <definedName name="g">#REF!</definedName>
    <definedName name="GINPUT">#REF!</definedName>
    <definedName name="H">#N/A</definedName>
    <definedName name="haha" hidden="1">{#N/A,#N/A,FALSE,"asset plan";#N/A,#N/A,FALSE,"Mgmt Report";#N/A,#N/A,FALSE,"sensitivities (2)";#N/A,#N/A,FALSE,"sensitivities";#N/A,#N/A,FALSE,"let up 10  Mort";#N/A,#N/A,FALSE,"let up 12 Mort";#N/A,#N/A,FALSE,"Capex";#N/A,#N/A,FALSE,"Capex Cashflow (2)";#N/A,#N/A,FALSE,"Capex Cashflow (3)";#N/A,#N/A,FALSE,"House View";#N/A,#N/A,FALSE,"kpi"}</definedName>
    <definedName name="hgkdj" hidden="1">{"AnnualRentRoll",#N/A,FALSE,"RentRoll"}</definedName>
    <definedName name="hgkdj_1" hidden="1">{"AnnualRentRoll",#N/A,FALSE,"RentRoll"}</definedName>
    <definedName name="hjdg" hidden="1">{#N/A,#N/A,FALSE,"PropertyInfo"}</definedName>
    <definedName name="hjdg_1" hidden="1">{#N/A,#N/A,FALSE,"PropertyInfo"}</definedName>
    <definedName name="I">#N/A</definedName>
    <definedName name="INCREASED">#REF!</definedName>
    <definedName name="INETOTHER">#REF!</definedName>
    <definedName name="INETPPE">#REF!</definedName>
    <definedName name="j">#REF!</definedName>
    <definedName name="jd" hidden="1">{#N/A,#N/A,FALSE,"LoanAssumptions"}</definedName>
    <definedName name="jd_1" hidden="1">{#N/A,#N/A,FALSE,"LoanAssumptions"}</definedName>
    <definedName name="k" hidden="1">{#N/A,#N/A,FALSE,"530&amp;120Consol";#N/A,#N/A,FALSE,"530aplan";#N/A,#N/A,FALSE,"120aplan";#N/A,#N/A,FALSE,"mgmt report";#N/A,#N/A,FALSE,"variance";#N/A,#N/A,FALSE,"SENSITIVE 9899";#N/A,#N/A,FALSE,"Letup 530";#N/A,#N/A,FALSE,"LETUP 120";#N/A,#N/A,FALSE,"Rent Review";#N/A,#N/A,FALSE,"Option";#N/A,#N/A,FALSE,"530 capex summ";#N/A,#N/A,FALSE,"120 capex summ";#N/A,#N/A,FALSE,"mtlhy cashflow";#N/A,#N/A,FALSE,"530 Collins E&amp;D";#N/A,#N/A,FALSE,"120 King E&amp;D";#N/A,#N/A,FALSE,"House View  530std  "}</definedName>
    <definedName name="kyd.CounterLimitCell.01." hidden="1">"x"</definedName>
    <definedName name="kyd.Dim.01." hidden="1">"local:Company"</definedName>
    <definedName name="kyd.ElementList.01." hidden="1">#REF!</definedName>
    <definedName name="kyd.ElementType.01." hidden="1">3</definedName>
    <definedName name="kyd.ItemType.01." hidden="1">2</definedName>
    <definedName name="kyd.MacroAfterMemoRow." hidden="1">""</definedName>
    <definedName name="kyd.MacroAfterZap." hidden="1">""</definedName>
    <definedName name="kyd.MacroAtEnd." hidden="1">""</definedName>
    <definedName name="kyd.MacroEachCycle." hidden="1">"FormatReport"</definedName>
    <definedName name="kyd.MacroEndOfEachCycle." hidden="1">""</definedName>
    <definedName name="kyd.MacroStartOfProc." hidden="1">""</definedName>
    <definedName name="kyd.MemoCtrlNum." hidden="1">0</definedName>
    <definedName name="kyd.MemoSortHide." hidden="1">FALSE</definedName>
    <definedName name="kyd.NumLevels.01." hidden="1">999</definedName>
    <definedName name="kyd.PanicStop." hidden="1">FALSE</definedName>
    <definedName name="kyd.ParentName.01." hidden="1">""</definedName>
    <definedName name="kyd.PreScreenData." hidden="1">FALSE</definedName>
    <definedName name="kyd.PrintMemo." hidden="1">FALSE</definedName>
    <definedName name="kyd.PrintParent.01." hidden="1">TRUE</definedName>
    <definedName name="kyd.PrintStdWhen." hidden="1">3</definedName>
    <definedName name="kyd.PrintToWbk." hidden="1">FALSE</definedName>
    <definedName name="kyd.ProcessInCycle." hidden="1">FALSE</definedName>
    <definedName name="kyd.SaveAsFile." hidden="1">FALSE</definedName>
    <definedName name="kyd.SaveMemo." hidden="1">FALSE</definedName>
    <definedName name="kyd.SelectString.01." hidden="1">"*"</definedName>
    <definedName name="kyd.Shortcut." hidden="1">FALSE</definedName>
    <definedName name="kyd.StdSortHide." hidden="1">FALSE</definedName>
    <definedName name="kyd.StopRow." hidden="1">65536</definedName>
    <definedName name="kyd.WriteMemWhenOptn." hidden="1">3</definedName>
    <definedName name="l" hidden="1">{#N/A,#N/A,FALSE,"동부"}</definedName>
    <definedName name="LG">#REF!</definedName>
    <definedName name="lll">#REF!</definedName>
    <definedName name="lllllll">#REF!</definedName>
    <definedName name="m">#REF!</definedName>
    <definedName name="MHELP">#REF!</definedName>
    <definedName name="mmm" hidden="1">{#N/A,#N/A,TRUE,"1호 과표세액";#N/A,#N/A,TRUE,"1-2호 농어촌과표";#N/A,#N/A,TRUE,"2호 서식";#N/A,#N/A,TRUE,"2호부표 최저한세";#N/A,#N/A,TRUE,"3(1)호 공제감면";#N/A,#N/A,TRUE,"임시특별감면";#N/A,#N/A,TRUE,"3(1)부7 기업합리";#N/A,#N/A,TRUE,"5호 농어촌";#N/A,#N/A,TRUE,"5호2 농감면(갑)";#N/A,#N/A,TRUE,"6호 소득금액";#N/A,#N/A,TRUE,"6호 첨부(익)";#N/A,#N/A,TRUE,"6호 첨부(손)";#N/A,#N/A,TRUE,"감가총괄";#N/A,#N/A,TRUE,"6-6(3)호 감가(정액)";#N/A,#N/A,TRUE,"9호 자본금(갑)";#N/A,#N/A,TRUE,"9호 자본금(을)";#N/A,#N/A,TRUE,"10(3)호 주요계정";#N/A,#N/A,TRUE,"10(4)호 소득구분"}</definedName>
    <definedName name="Months">#REF!</definedName>
    <definedName name="n">#REF!</definedName>
    <definedName name="NO">#N/A</definedName>
    <definedName name="November" hidden="1">{#N/A,#N/A,TRUE,"표지";#N/A,#N/A,TRUE,"총괄표";#N/A,#N/A,TRUE,"1호 과표세액";#N/A,#N/A,TRUE,"2호 서식";#N/A,#N/A,TRUE,"3(1) 부3 세액조정";#N/A,#N/A,TRUE,"임시투자공제";#N/A,#N/A,TRUE,"조8호 기술인력";#N/A,#N/A,TRUE,"3(1)부7 기업합리";#N/A,#N/A,TRUE,"3(3)호(갑) 원천납부";#N/A,#N/A,TRUE,"6호 소득금액";#N/A,#N/A,TRUE,"6호 첨부(익)";#N/A,#N/A,TRUE,"6호 첨부(손)";#N/A,#N/A,TRUE,"6-1호 수입금액";#N/A,#N/A,TRUE,"6-2(4)호 해외시장";#N/A,#N/A,TRUE,"6-2(12)호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자본금(을)";#N/A,#N/A,TRUE,"10(3)호 주요계정";#N/A,#N/A,TRUE,"10(3)호 부표";#N/A,#N/A,TRUE,"10(4)호 조정수입";#N/A,#N/A,TRUE,"14(1)호 갑 주식";#N/A,#N/A,TRUE,"요약 BS";#N/A,#N/A,TRUE,"요약 PL";#N/A,#N/A,TRUE,"요약원가";#N/A,#N/A,TRUE,"요약RE"}</definedName>
    <definedName name="ocf" hidden="1">#REF!</definedName>
    <definedName name="opo" hidden="1">{#N/A,#N/A,FALSE,"지침";#N/A,#N/A,FALSE,"환경분석";#N/A,#N/A,FALSE,"Sheet16"}</definedName>
    <definedName name="PQ점수">"Dialog Frame 1"</definedName>
    <definedName name="print">#REF!</definedName>
    <definedName name="_xlnm.Print_Area" localSheetId="5">'1-1) 자산개요'!$A$1:$Q$27</definedName>
    <definedName name="_xlnm.Print_Area" localSheetId="6">'1-2) 리츠개요'!$A$1:$R$58</definedName>
    <definedName name="_xlnm.Print_Area" localSheetId="7">'1-3) 보험가입현황'!$A$1:$Q$43</definedName>
    <definedName name="_xlnm.Print_Area" localSheetId="8">'2.임대현황_공실현황'!$A$1:$K$22</definedName>
    <definedName name="_xlnm.Print_Area" localSheetId="9">'2-1) Rent Roll'!$A$1:$BB$114</definedName>
    <definedName name="_xlnm.Print_Area" localSheetId="10">'2-2) Stacking Plan'!$A$1:$AN$99</definedName>
    <definedName name="_xlnm.Print_Area" localSheetId="11">'2-3) 신규, 재계약, 만료 현황'!$A$1:$L$60</definedName>
    <definedName name="_xlnm.Print_Area" localSheetId="12">'2-4) 청구수납현황'!$A$1:$O$315</definedName>
    <definedName name="_xlnm.Print_Area" localSheetId="13">'2-5) 임대시장 현황'!$A$1:$Q$45</definedName>
    <definedName name="_xlnm.Print_Area" localSheetId="18">'3.재무성과분석_성과분석(수입비용현황2)'!$A$1:$N$55</definedName>
    <definedName name="_xlnm.Print_Area" localSheetId="14">'3-1) 재무상태표'!$A$1:$E$72</definedName>
    <definedName name="_xlnm.Print_Area" localSheetId="15">'3-2) 손익계산서(월간)'!$A$1:$F$38</definedName>
    <definedName name="_xlnm.Print_Area" localSheetId="16">'3-3) 손익계산서(누적)'!$A$1:$G$37</definedName>
    <definedName name="_xlnm.Print_Area" localSheetId="17">'3-4) 예산-실적 비교'!$A$1:$Q$86</definedName>
    <definedName name="_xlnm.Print_Area" localSheetId="19">'4-1) 관리조직도'!$A$1:$N$38</definedName>
    <definedName name="_xlnm.Print_Area" localSheetId="20">'4-2) 관리비용 세부'!$A$1:$T$102</definedName>
    <definedName name="_xlnm.Print_Area" localSheetId="21">'4-3) 수도광열비 분석'!$A$1:$P$172</definedName>
    <definedName name="_xlnm.Print_Area" localSheetId="22">'4-4) 법정검사, 보수 및 CAPEX내역'!$A$1:$U$32</definedName>
    <definedName name="_xlnm.Print_Area" localSheetId="23">'4-5) 임차인서비스요청'!$A$1:$M$74</definedName>
    <definedName name="_xlnm.Print_Area" localSheetId="4">Contents!$A$1:$I$35</definedName>
    <definedName name="_xlnm.Print_Area" localSheetId="3">'MR Summary'!$A$1:$L$66</definedName>
    <definedName name="_xlnm.Print_Area" localSheetId="0">Sign!$A$1:$J$43</definedName>
    <definedName name="_xlnm.Print_Area" localSheetId="24">'별첨1_질권설정 현황'!$A$1:$P$70</definedName>
    <definedName name="_xlnm.Print_Area" localSheetId="25">'별첨2_연간 시설점검계획'!$A$1:$AE$43</definedName>
    <definedName name="_xlnm.Print_Area" localSheetId="26">'별첨3_장기수선충당금 현황'!$A$1:$H$116</definedName>
    <definedName name="Print_title">#REF!,#REF!</definedName>
    <definedName name="_xlnm.Print_Titles">#REF!</definedName>
    <definedName name="PROJECT">#N/A</definedName>
    <definedName name="QQQAAASSS" hidden="1">{#N/A,#N/A,TRUE,"Y생산";#N/A,#N/A,TRUE,"Y판매";#N/A,#N/A,TRUE,"Y총물량";#N/A,#N/A,TRUE,"Y능력";#N/A,#N/A,TRUE,"YKD"}</definedName>
    <definedName name="QQQQQQQ" hidden="1">{#N/A,#N/A,TRUE,"Y생산";#N/A,#N/A,TRUE,"Y판매";#N/A,#N/A,TRUE,"Y총물량";#N/A,#N/A,TRUE,"Y능력";#N/A,#N/A,TRUE,"YKD"}</definedName>
    <definedName name="R_">#REF!</definedName>
    <definedName name="_xlnm.Recorder">#REF!</definedName>
    <definedName name="REMK">#N/A</definedName>
    <definedName name="rewr" hidden="1">{#N/A,#N/A,FALSE,"이력서&amp;자기소개서"}</definedName>
    <definedName name="rewrs" hidden="1">{#N/A,#N/A,FALSE,"이력서&amp;자기소개서"}</definedName>
    <definedName name="sadd" hidden="1">{"MonthlyRentRoll",#N/A,FALSE,"RentRoll"}</definedName>
    <definedName name="sadd_1" hidden="1">{"MonthlyRentRoll",#N/A,FALSE,"RentRoll"}</definedName>
    <definedName name="saddd" hidden="1">{"AnnualRentRoll",#N/A,FALSE,"RentRoll"}</definedName>
    <definedName name="saddd_1" hidden="1">{"AnnualRentRoll",#N/A,FALSE,"RentRoll"}</definedName>
    <definedName name="saddddd" hidden="1">{"AnnualRentRoll",#N/A,FALSE,"RentRoll"}</definedName>
    <definedName name="saddddd_1" hidden="1">{"AnnualRentRoll",#N/A,FALSE,"RentRoll"}</definedName>
    <definedName name="sadddddddd" hidden="1">{#N/A,#N/A,FALSE,"ExitStratigy"}</definedName>
    <definedName name="sadddddddd_1" hidden="1">{#N/A,#N/A,FALSE,"ExitStratigy"}</definedName>
    <definedName name="sadddddddddd" hidden="1">{#N/A,#N/A,FALSE,"LoanAssumptions"}</definedName>
    <definedName name="sadddddddddd_1" hidden="1">{#N/A,#N/A,FALSE,"LoanAssumptions"}</definedName>
    <definedName name="saddddddddddddd" hidden="1">{#N/A,#N/A,FALSE,"OperatingAssumptions"}</definedName>
    <definedName name="saddddddddddddd_1" hidden="1">{#N/A,#N/A,FALSE,"OperatingAssumptions"}</definedName>
    <definedName name="sdsss">#REF!</definedName>
    <definedName name="sencount" hidden="1">1</definedName>
    <definedName name="SEQU">#N/A</definedName>
    <definedName name="SEXP">#N/A</definedName>
    <definedName name="SIZE">#N/A</definedName>
    <definedName name="SLAB">#N/A</definedName>
    <definedName name="SMAT">#N/A</definedName>
    <definedName name="SMHR">#N/A</definedName>
    <definedName name="solver_cvg" hidden="1">0.001</definedName>
    <definedName name="solver_drv" hidden="1">1</definedName>
    <definedName name="solver_est" hidden="1">1</definedName>
    <definedName name="solver_itr" hidden="1">100</definedName>
    <definedName name="solver_lhs1" hidden="1">#REF!</definedName>
    <definedName name="solver_lin" hidden="1">2</definedName>
    <definedName name="solver_neg" hidden="1">2</definedName>
    <definedName name="solver_num" hidden="1">0</definedName>
    <definedName name="solver_nwt" hidden="1">1</definedName>
    <definedName name="solver_pre" hidden="1">0.000001</definedName>
    <definedName name="solver_rel1" hidden="1">1</definedName>
    <definedName name="solver_rhs1" hidden="1">#REF!*1.5</definedName>
    <definedName name="solver_scl" hidden="1">2</definedName>
    <definedName name="solver_sho" hidden="1">2</definedName>
    <definedName name="solver_tim" hidden="1">100</definedName>
    <definedName name="solver_tol" hidden="1">0.05</definedName>
    <definedName name="solver_typ" hidden="1">1</definedName>
    <definedName name="solver_val" hidden="1">0</definedName>
    <definedName name="sss" hidden="1">{#N/A,#N/A,FALSE,"동부"}</definedName>
    <definedName name="start">#REF!</definedName>
    <definedName name="table">#REF!</definedName>
    <definedName name="TextRefCopyRangeCount" hidden="1">20</definedName>
    <definedName name="TITLE">#REF!</definedName>
    <definedName name="Total_Debt">#REF!+#REF!</definedName>
    <definedName name="ttttt" hidden="1">{#N/A,#N/A,FALSE,"지침";#N/A,#N/A,FALSE,"환경분석";#N/A,#N/A,FALSE,"Sheet16"}</definedName>
    <definedName name="UNIT">#N/A</definedName>
    <definedName name="up" hidden="1">{#N/A,#N/A,FALSE,"지침";#N/A,#N/A,FALSE,"환경분석";#N/A,#N/A,FALSE,"Sheet16"}</definedName>
    <definedName name="WEARF" hidden="1">{#N/A,#N/A,TRUE,"Y생산";#N/A,#N/A,TRUE,"Y판매";#N/A,#N/A,TRUE,"Y총물량";#N/A,#N/A,TRUE,"Y능력";#N/A,#N/A,TRUE,"YKD"}</definedName>
    <definedName name="wkqcjf">#REF!</definedName>
    <definedName name="wrn.97." hidden="1">{#N/A,#N/A,FALSE,"지침";#N/A,#N/A,FALSE,"환경분석";#N/A,#N/A,FALSE,"Sheet16"}</definedName>
    <definedName name="wrn.97년._.9월._.임차현황." hidden="1">{#N/A,#N/A,FALSE,"동부"}</definedName>
    <definedName name="wrn.ACHESON94TAXRETURN." hidden="1">{#N/A,#N/A,FALSE,"일반적사항";#N/A,#N/A,FALSE,"주요재무자료";#N/A,#N/A,FALSE,"표지";#N/A,#N/A,FALSE,"총괄표";#N/A,#N/A,FALSE,"1호 과표세액";#N/A,#N/A,FALSE,"1-2호 농어촌과표";#N/A,#N/A,FALSE,"2호 서식";#N/A,#N/A,FALSE,"3(1)호 공제감면";#N/A,#N/A,FALSE,"임시특별감면";#N/A,#N/A,FALSE,"3(1)부7 기업합리";#N/A,#N/A,FALSE,"3(3)호(갑) 원천납부";#N/A,#N/A,FALSE,"5호 농어촌";#N/A,#N/A,FALSE,"6호 소득금액";#N/A,#N/A,FALSE,"6호 첨부(익)";#N/A,#N/A,FALSE,"6호 첨부(손)";#N/A,#N/A,FALSE,"6-1호 수입금액";#N/A,#N/A,FALSE,"6-3호 퇴충";#N/A,#N/A,FALSE,"6-3(4)호 대손";#N/A,#N/A,FALSE,"6-4호 접대(갑)";#N/A,#N/A,FALSE,"6-4호 접대(을)";#N/A,#N/A,FALSE,"6-6호(부표) 자본적지출";#N/A,#N/A,FALSE,"6-10호 재고자산";#N/A,#N/A,FALSE,"6-11호 세금과공과";#N/A,#N/A,FALSE,"6-12호 선급비용";#N/A,#N/A,FALSE,"6-14호 부동산보유";#N/A,#N/A,FALSE,"9호 자본금(갑)";#N/A,#N/A,FALSE,"9호 자본금(을)";#N/A,#N/A,FALSE,"10(3)호 주요계정";#N/A,#N/A,FALSE,"10(3)호 부표";#N/A,#N/A,FALSE,"10(4)호 조정수입";#N/A,#N/A,FALSE,"10(4)호 소득구분";#N/A,#N/A,FALSE,"12호 중소검토";#N/A,#N/A,FALSE,"14(1)호 갑 주식";#N/A,#N/A,FALSE,"59호 해외특수";#N/A,#N/A,FALSE,"요약 BS";#N/A,#N/A,FALSE,"요약 PL";#N/A,#N/A,FALSE,"요약원가";#N/A,#N/A,FALSE,"요약RE"}</definedName>
    <definedName name="wrn.AnnualRentRoll" hidden="1">{"AnnualRentRoll",#N/A,FALSE,"RentRoll"}</definedName>
    <definedName name="wrn.AnnualRentRoll." hidden="1">{"AnnualRentRoll",#N/A,FALSE,"RentRoll"}</definedName>
    <definedName name="wrn.AnnualRentRoll._1" hidden="1">{"AnnualRentRoll",#N/A,FALSE,"RentRoll"}</definedName>
    <definedName name="wrn.AnnualRentRoll_1" hidden="1">{"AnnualRentRoll",#N/A,FALSE,"RentRoll"}</definedName>
    <definedName name="wrn.balance._.france." hidden="1">{"Balance france 1",#N/A,TRUE,"modele balance France";"Balance france 2",#N/A,TRUE,"modele balance France";"balance france 3",#N/A,TRUE,"modele balance France";"page4",#N/A,TRUE,"modele balance France";"page5",#N/A,TRUE,"modele balance France";"page6",#N/A,TRUE,"modele balance France";"page7",#N/A,TRUE,"modele balance France";"page8",#N/A,TRUE,"modele balance France";"page9",#N/A,TRUE,"modele balance France";"page10",#N/A,TRUE,"modele balance France";"page11",#N/A,TRUE,"modele balance France";"page12",#N/A,TRUE,"modele balance France";"page13",#N/A,TRUE,"modele balance France";"page14",#N/A,TRUE,"modele balance France";"page15",#N/A,TRUE,"modele balance France"}</definedName>
    <definedName name="wrn.BL94TAXRETURN." hidden="1">{#N/A,#N/A,FALSE,"일반적사항";#N/A,#N/A,FALSE,"주요재무자료";#N/A,#N/A,FALSE,"표지";#N/A,#N/A,FALSE,"총괄표";#N/A,#N/A,FALSE,"1호 과표세액";#N/A,#N/A,FALSE,"2호 서식";#N/A,#N/A,FALSE,"2호부표 최저한세";#N/A,#N/A,FALSE,"3(1)호 공제감면";#N/A,#N/A,FALSE,"3(1) 부1 공제감면";#N/A,#N/A,FALSE,"임시특별감면";#N/A,#N/A,FALSE,"3(1)부7 기업합리";#N/A,#N/A,FALSE,"3(3)호(갑) 원천납부";#N/A,#N/A,FALSE,"5호 농어촌";#N/A,#N/A,FALSE,"6호 소득금액";#N/A,#N/A,FALSE,"6호 첨부(익)";#N/A,#N/A,FALSE,"6호 첨부(손)";#N/A,#N/A,FALSE,"재고자산추인";#N/A,#N/A,FALSE,"6-1호 수입금액";#N/A,#N/A,FALSE,"6-2(2)호 중소투자";#N/A,#N/A,FALSE,"6-2(4)호 해외시장";#N/A,#N/A,FALSE,"6-2(12)호 수출손실";#N/A,#N/A,FALSE,"6-3호 퇴충";#N/A,#N/A,FALSE,"6-3(3)호 단퇴";#N/A,#N/A,FALSE,"6-3(4)호 대손";#N/A,#N/A,FALSE,"6-4호 접대(갑)";#N/A,#N/A,FALSE,"6-4호 접대(을)";#N/A,#N/A,FALSE,"6-5호 외화(갑)";#N/A,#N/A,FALSE,"6-5호 외화(을)";#N/A,#N/A,FALSE,"6-6호(부표) 자본적지출";#N/A,#N/A,FALSE,"감가총괄";#N/A,#N/A,FALSE,"6-10호 재고자산";#N/A,#N/A,FALSE,"6-11호 세금과공과";#N/A,#N/A,FALSE,"6-12호 선급비용";#N/A,#N/A,FALSE,"6-13호 기부금";#N/A,#N/A,FALSE,"6-14호 부동산보유";#N/A,#N/A,FALSE,"8호 기부금조정";#N/A,#N/A,FALSE,"9호 자본금(갑)";#N/A,#N/A,FALSE,"9호 자본금(을)";#N/A,#N/A,FALSE,"10(3)호 주요계정";#N/A,#N/A,FALSE,"10(3)호 부표";#N/A,#N/A,FALSE,"10(4)호 조정수입";#N/A,#N/A,FALSE,"10(4)호 소득구분";#N/A,#N/A,FALSE,"12호 중소검토";#N/A,#N/A,FALSE,"14(1)호 갑 주식";#N/A,#N/A,FALSE,"59호 해외특수";#N/A,#N/A,FALSE,"요약 BS";#N/A,#N/A,FALSE,"요약 PL";#N/A,#N/A,FALSE,"요약원가";#N/A,#N/A,FALSE,"요약RE"}</definedName>
    <definedName name="wrn.budget." hidden="1">{"budget1",#N/A,FALSE,"BUDG.XLS";"budget2",#N/A,FALSE,"BUDG.XLS"}</definedName>
    <definedName name="wrn.Capex." hidden="1">{#N/A,#N/A,TRUE,"Capex Summ";#N/A,#N/A,TRUE,"Essential Works.tw";#N/A,#N/A,TRUE,"Desirable Works.tw";#N/A,#N/A,TRUE,"Essential Works.rt";#N/A,#N/A,TRUE,"Desirable Works.rt";#N/A,#N/A,TRUE,"Mthly";#N/A,#N/A,TRUE,"Essential Works.ht";#N/A,#N/A,TRUE,"Desirable Works.ht";#N/A,#N/A,TRUE,"Incentives"}</definedName>
    <definedName name="wrn.Chart._.of._.Accounts." hidden="1">{#N/A,#N/A,FALSE,"Categories";#N/A,#N/A,FALSE,"MRi INCH";#N/A,#N/A,FALSE,"COA Usage";#N/A,#N/A,FALSE,"Detail"}</definedName>
    <definedName name="wrn.CIC94TAX." hidden="1">{#N/A,#N/A,FALSE,"일반적사항";#N/A,#N/A,FALSE,"주요재무자료";#N/A,#N/A,FALSE,"표지";#N/A,#N/A,FALSE,"총괄표";#N/A,#N/A,FALSE,"1호 과표세액";#N/A,#N/A,FALSE,"2호 서식";#N/A,#N/A,FALSE,"3(3)호(갑) 원천납부";#N/A,#N/A,FALSE,"6호 소득금액";#N/A,#N/A,FALSE,"6호 첨부(익)";#N/A,#N/A,FALSE,"6호 첨부(익)";#N/A,#N/A,FALSE,"6호 첨부(손)";#N/A,#N/A,FALSE,"6-1호 수입금액";#N/A,#N/A,FALSE,"6-3호 퇴충";#N/A,#N/A,FALSE,"6-4호 접대(갑)";#N/A,#N/A,FALSE,"6-4호 접대(을)";#N/A,#N/A,FALSE,"감가총괄";#N/A,#N/A,FALSE,"6-6(3)호 감가(정액)";#N/A,#N/A,FALSE,"전기부인액추인";#N/A,#N/A,FALSE,"6-6호(부표) 자본적지출";#N/A,#N/A,FALSE,"6-10호 재고자산";#N/A,#N/A,FALSE,"6-11호 세금과공과";#N/A,#N/A,FALSE,"6-12호 선급비용";#N/A,#N/A,FALSE,"9호 자본금(갑)";#N/A,#N/A,FALSE,"9호 자본금(을)";#N/A,#N/A,FALSE,"10(4)호 조정수입";#N/A,#N/A,FALSE,"59호 해외특수"}</definedName>
    <definedName name="wrn.complet._.sauf._.balance." hidden="1">{"VUEIS",#N/A,FALSE,"calcul IS";"FNP",#N/A,FALSE,"FNP";"CCA",#N/A,FALSE,"CCA et produits a recevoir";"IMPOTS",#N/A,FALSE,"TAXESet prov charges sociales";"FRAISFI",#N/A,FALSE,"Intérêts financiers, PCA ";"budget1",#N/A,FALSE,"BUDG.XLS";"budget2",#N/A,FALSE,"BUDG.XLS";"marge complete",#N/A,FALSE,"marge";"VUECUMUL",#N/A,FALSE,"marge cumulée";"page 25",#N/A,FALSE,"inventory Summary";#N/A,#N/A,FALSE,"reserves and accruals";#N/A,#N/A,FALSE,"contrôle"}</definedName>
    <definedName name="wrn.COSA94TAXRETURN." hidden="1">{#N/A,#N/A,FALSE,"일반적사항";#N/A,#N/A,FALSE,"주요재무자료";#N/A,#N/A,FALSE,"표지";#N/A,#N/A,FALSE,"총괄표";#N/A,#N/A,FALSE,"1호 과표세액";#N/A,#N/A,FALSE,"1-2호 농어촌과표";#N/A,#N/A,FALSE,"2호 서식";#N/A,#N/A,FALSE,"2호부표 최저한세";#N/A,#N/A,FALSE,"3(1)부7 기업합리";#N/A,#N/A,FALSE,"3(3)호(갑) 원천납부";#N/A,#N/A,FALSE,"5호 농어촌";#N/A,#N/A,FALSE,"5호2 농감면(갑)";#N/A,#N/A,FALSE,"6호 소득금액";#N/A,#N/A,FALSE,"6호 첨부(익)";#N/A,#N/A,FALSE,"6호 첨부(손)";#N/A,#N/A,FALSE,"6-1호 수입금액";#N/A,#N/A,FALSE,"6-3호 퇴충";#N/A,#N/A,FALSE,"6-3(3)호 단퇴";#N/A,#N/A,FALSE,"6-3(4)호 대손";#N/A,#N/A,FALSE,"6-4호 접대(갑)";#N/A,#N/A,FALSE,"6-4호 접대(을)";#N/A,#N/A,FALSE,"6-5호 외화(갑)";#N/A,#N/A,FALSE,"6-5호 외화(을)";#N/A,#N/A,FALSE,"감가총괄";#N/A,#N/A,FALSE,"6-6(3)호 감가(정액)";#N/A,#N/A,FALSE,"6-6호(부표) 자본적지출";#N/A,#N/A,FALSE,"6-7호 가지급금(갑)";#N/A,#N/A,FALSE,"6-7호 가지급(을)";#N/A,#N/A,FALSE,"6-10호 재고자산";#N/A,#N/A,FALSE,"6-11호 세금과공과";#N/A,#N/A,FALSE,"6-12호 선급비용";#N/A,#N/A,FALSE,"6-13호 기부금";#N/A,#N/A,FALSE,"6-14호 부동산보유";#N/A,#N/A,FALSE,"8호 기부금조정";#N/A,#N/A,FALSE,"9호 자본금(갑)";#N/A,#N/A,FALSE,"9호 자본금(을)";#N/A,#N/A,FALSE,"10(2)호 소득공제";#N/A,#N/A,FALSE,"10(3)호 주요계정";#N/A,#N/A,FALSE,"10(3)호 부표";#N/A,#N/A,FALSE,"10(4)호 조정수입";#N/A,#N/A,FALSE,"14(1)호 갑 주식";#N/A,#N/A,FALSE,"59호 해외특수";#N/A,#N/A,FALSE,"요약 BS";#N/A,#N/A,FALSE,"요약 PL";#N/A,#N/A,FALSE,"요약RE"}</definedName>
    <definedName name="wrn.ExitAndSalesAssumptions." hidden="1">{#N/A,#N/A,FALSE,"ExitStratigy"}</definedName>
    <definedName name="wrn.ExitAndSalesAssumptions._1" hidden="1">{#N/A,#N/A,FALSE,"ExitStratigy"}</definedName>
    <definedName name="wrn.fullreport." hidden="1">{#N/A,#N/A,FALSE,"530&amp;120Consol";#N/A,#N/A,FALSE,"530aplan";#N/A,#N/A,FALSE,"120aplan";#N/A,#N/A,FALSE,"mgmt report";#N/A,#N/A,FALSE,"variance";#N/A,#N/A,FALSE,"SENSITIVE 9899";#N/A,#N/A,FALSE,"Letup 530";#N/A,#N/A,FALSE,"LETUP 120";#N/A,#N/A,FALSE,"Rent Review";#N/A,#N/A,FALSE,"Option";#N/A,#N/A,FALSE,"530 capex summ";#N/A,#N/A,FALSE,"120 capex summ";#N/A,#N/A,FALSE,"mtlhy cashflow";#N/A,#N/A,FALSE,"530 Collins E&amp;D";#N/A,#N/A,FALSE,"120 King E&amp;D";#N/A,#N/A,FALSE,"House View  530std  "}</definedName>
    <definedName name="wrn.IFF94TAX." hidden="1">{#N/A,#N/A,FALSE,"일반적사항";#N/A,#N/A,FALSE,"주요재무자료";#N/A,#N/A,FALSE,"표지";#N/A,#N/A,FALSE,"총괄표";#N/A,#N/A,FALSE,"1호 과표세액";#N/A,#N/A,FALSE,"2호 서식";#N/A,#N/A,FALSE,"3(3)호(갑) 원천납부";#N/A,#N/A,FALSE,"6호 소득금액";#N/A,#N/A,FALSE,"6호 첨부(익)";#N/A,#N/A,FALSE,"6호 첨부(손)";#N/A,#N/A,FALSE,"6-1호 수입금액";#N/A,#N/A,FALSE,"6-3호 퇴충";#N/A,#N/A,FALSE,"6-4호 접대(갑)";#N/A,#N/A,FALSE,"6-4호 접대(을)";#N/A,#N/A,FALSE,"6-5 갑 외화";#N/A,#N/A,FALSE,"6-5을 외화";#N/A,#N/A,FALSE,"감가총괄";#N/A,#N/A,FALSE,"전기부인액추인";#N/A,#N/A,FALSE,"6-6호(부표) 자본적지출";#N/A,#N/A,FALSE,"6-11호 세금과공과";#N/A,#N/A,FALSE,"6-12호 선급비용";#N/A,#N/A,FALSE,"9호 자본금(갑)";#N/A,#N/A,FALSE,"9호 자본금(을)";#N/A,#N/A,FALSE,"10(3)호 주요계정";#N/A,#N/A,FALSE,"10(4)호 조정수입";#N/A,#N/A,FALSE,"12호 중소검토";#N/A,#N/A,FALSE,"14(1) 주주이동(갑)";#N/A,#N/A,FALSE,"59호 해외특수";#N/A,#N/A,FALSE,"해외명세";#N/A,#N/A,FALSE,"요약 BS";#N/A,#N/A,FALSE,"요약RE";#N/A,#N/A,FALSE,"요약 PL"}</definedName>
    <definedName name="wrn.jck94TAXRETURN." hidden="1">{#N/A,#N/A,FALSE,"표지";#N/A,#N/A,FALSE,"총괄표";#N/A,#N/A,FALSE,"1호 과표세액";#N/A,#N/A,FALSE,"3(3)호(갑) 원천납부";#N/A,#N/A,FALSE,"6호 소득금액";#N/A,#N/A,FALSE,"6호 첨부(익)";#N/A,#N/A,FALSE,"6호 첨부(손)";#N/A,#N/A,FALSE,"6-12호 선급비용";#N/A,#N/A,FALSE,"6-14호 부동산보유";#N/A,#N/A,FALSE,"9호 자본금(갑)";#N/A,#N/A,FALSE,"9호 자본금(을)";#N/A,#N/A,FALSE,"10(3)호 주요계정";#N/A,#N/A,FALSE,"10(3)호 부표";#N/A,#N/A,FALSE,"10(4)호 조정수입";#N/A,#N/A,FALSE,"12호 중소검토";#N/A,#N/A,FALSE,"14(1)호 갑 주식";#N/A,#N/A,FALSE,"59호 해외특수";#N/A,#N/A,FALSE,"요약 BS";#N/A,#N/A,FALSE,"요약 PL";#N/A,#N/A,FALSE,"요약원가";#N/A,#N/A,FALSE,"요약RE";#N/A,#N/A,FALSE,"6-5호 외화(갑)";#N/A,#N/A,FALSE,"6-5호 외화(을)"}</definedName>
    <definedName name="wrn.Lead._.Schedule." hidden="1">{#N/A,#N/A,FALSE,"BS";#N/A,#N/A,FALSE,"PL";#N/A,#N/A,FALSE,"A";#N/A,#N/A,FALSE,"B";#N/A,#N/A,FALSE,"B1";#N/A,#N/A,FALSE,"C";#N/A,#N/A,FALSE,"C1";#N/A,#N/A,FALSE,"C2";#N/A,#N/A,FALSE,"D";#N/A,#N/A,FALSE,"E";#N/A,#N/A,FALSE,"F";#N/A,#N/A,FALSE,"AA";#N/A,#N/A,FALSE,"BB";#N/A,#N/A,FALSE,"CC";#N/A,#N/A,FALSE,"DD";#N/A,#N/A,FALSE,"EE";#N/A,#N/A,FALSE,"FF";#N/A,#N/A,FALSE,"PL10";#N/A,#N/A,FALSE,"PL20";#N/A,#N/A,FALSE,"PL30"}</definedName>
    <definedName name="wrn.LoanInformation." hidden="1">{#N/A,#N/A,FALSE,"LoanAssumptions"}</definedName>
    <definedName name="wrn.LoanInformation._1" hidden="1">{#N/A,#N/A,FALSE,"LoanAssumptions"}</definedName>
    <definedName name="wrn.lodging." hidden="1">{"p",#N/A,FALSE,"Sheet1";"p 2",#N/A,FALSE,"Sheet1";"p 3",#N/A,FALSE,"Sheet1"}</definedName>
    <definedName name="wrn.lodging._1" hidden="1">{"p",#N/A,FALSE,"Sheet1";"p 2",#N/A,FALSE,"Sheet1";"p 3",#N/A,FALSE,"Sheet1"}</definedName>
    <definedName name="wrn.MonthlyRentRoll." hidden="1">{"MonthlyRentRoll",#N/A,FALSE,"RentRoll"}</definedName>
    <definedName name="wrn.MonthlyRentRoll._1" hidden="1">{"MonthlyRentRoll",#N/A,FALSE,"RentRoll"}</definedName>
    <definedName name="wrn.mortassetplan." hidden="1">{#N/A,#N/A,FALSE,"asset plan";#N/A,#N/A,FALSE,"Mgmt Report";#N/A,#N/A,FALSE,"sensitivities (2)";#N/A,#N/A,FALSE,"sensitivities";#N/A,#N/A,FALSE,"let up 10  Mort";#N/A,#N/A,FALSE,"let up 12 Mort";#N/A,#N/A,FALSE,"Capex";#N/A,#N/A,FALSE,"Capex Cashflow (2)";#N/A,#N/A,FALSE,"Capex Cashflow (3)";#N/A,#N/A,FALSE,"House View";#N/A,#N/A,FALSE,"kpi"}</definedName>
    <definedName name="wrn.OperatingAssumtions." hidden="1">{#N/A,#N/A,FALSE,"OperatingAssumptions"}</definedName>
    <definedName name="wrn.OperatingAssumtions._1" hidden="1">{#N/A,#N/A,FALSE,"OperatingAssumptions"}</definedName>
    <definedName name="wrn.PAIM._.TAX._.PRO." hidden="1">{#N/A,#N/A,FALSE,"표지";#N/A,#N/A,FALSE,"총괄표";#N/A,#N/A,FALSE,"1호 과표세액";#N/A,#N/A,FALSE,"2호 서식";#N/A,#N/A,FALSE,"3(3)호(갑) 원천납부";#N/A,#N/A,FALSE,"6호 소득금액";#N/A,#N/A,FALSE,"6호 첨부(익)";#N/A,#N/A,FALSE,"6호 첨부(손)";#N/A,#N/A,FALSE,"6-1호 수입금액";#N/A,#N/A,FALSE,"6-3호 퇴충";#N/A,#N/A,FALSE,"6-3(3)호 단퇴";#N/A,#N/A,FALSE,"6-3(4)호 대손";#N/A,#N/A,FALSE,"6-4호 접대(갑)";#N/A,#N/A,FALSE,"6-4호 접대(을)";#N/A,#N/A,FALSE,"6-5호 외화(갑)";#N/A,#N/A,FALSE,"6-5호 외화(을)";#N/A,#N/A,FALSE,"6-6호(부표) 자본적지출";#N/A,#N/A,FALSE,"6-11호 세금과공과";#N/A,#N/A,FALSE,"6-12호 선급비용";#N/A,#N/A,FALSE,"9호 자본금(갑)";#N/A,#N/A,FALSE,"9호 자본금(을)";#N/A,#N/A,FALSE,"10(3)호 주요계정";#N/A,#N/A,FALSE,"10(3)호 부표";#N/A,#N/A,FALSE,"10(4)호 조정수입";#N/A,#N/A,FALSE,"요약 BS";#N/A,#N/A,FALSE,"요약 PL";#N/A,#N/A,FALSE,"요약RE"}</definedName>
    <definedName name="wrn.Presentation." hidden="1">{#N/A,#N/A,TRUE,"Summary";"AnnualRentRoll",#N/A,TRUE,"RentRoll";#N/A,#N/A,TRUE,"ExitStratigy";#N/A,#N/A,TRUE,"OperatingAssumptions"}</definedName>
    <definedName name="wrn.Presentation._1" hidden="1">{#N/A,#N/A,TRUE,"Summary";"AnnualRentRoll",#N/A,TRUE,"RentRoll";#N/A,#N/A,TRUE,"ExitStratigy";#N/A,#N/A,TRUE,"OperatingAssumptions"}</definedName>
    <definedName name="wrn.print." hidden="1">{"page1",#N/A,FALSE,"Sheet1";"page2",#N/A,FALSE,"Sheet1"}</definedName>
    <definedName name="wrn.print._1" hidden="1">{"page1",#N/A,FALSE,"Sheet1";"page2",#N/A,FALSE,"Sheet1"}</definedName>
    <definedName name="wrn.PropertyInformation." hidden="1">{#N/A,#N/A,FALSE,"PropertyInfo"}</definedName>
    <definedName name="wrn.PropertyInformation._1" hidden="1">{#N/A,#N/A,FALSE,"PropertyInfo"}</definedName>
    <definedName name="wrn.QAPU." hidden="1">{#N/A,#N/A,FALSE,"5YRASSPl - consol'd";#N/A,#N/A,FALSE,"5YRASSPl - hotel";#N/A,#N/A,FALSE,"5YRASSPl - excl htl";#N/A,#N/A,FALSE,"VarReport";#N/A,#N/A,FALSE,"Sensitivity";#N/A,#N/A,FALSE,"House View ";#N/A,#N/A,FALSE,"KPI"}</definedName>
    <definedName name="wrn.SAA94TAX." hidden="1">{#N/A,#N/A,TRUE,"표지";#N/A,#N/A,TRUE,"총괄표";#N/A,#N/A,TRUE,"1호 과표세액";#N/A,#N/A,TRUE,"2호 서식";#N/A,#N/A,TRUE,"3(1) 부3 세액조정";#N/A,#N/A,TRUE,"임시투자공제";#N/A,#N/A,TRUE,"조8호 기술인력";#N/A,#N/A,TRUE,"3(1)부7 기업합리";#N/A,#N/A,TRUE,"3(3)호(갑) 원천납부";#N/A,#N/A,TRUE,"6호 소득금액";#N/A,#N/A,TRUE,"6호 첨부(익)";#N/A,#N/A,TRUE,"6호 첨부(손)";#N/A,#N/A,TRUE,"6-1호 수입금액";#N/A,#N/A,TRUE,"6-2(4)호 해외시장";#N/A,#N/A,TRUE,"6-2(12)호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자본금(을)";#N/A,#N/A,TRUE,"10(3)호 주요계정";#N/A,#N/A,TRUE,"10(3)호 부표";#N/A,#N/A,TRUE,"10(4)호 조정수입";#N/A,#N/A,TRUE,"14(1)호 갑 주식";#N/A,#N/A,TRUE,"요약 BS";#N/A,#N/A,TRUE,"요약 PL";#N/A,#N/A,TRUE,"요약원가";#N/A,#N/A,TRUE,"요약RE"}</definedName>
    <definedName name="wrn.saasimple." hidden="1">{#N/A,#N/A,FALSE,"1호 과표세액";#N/A,#N/A,FALSE,"2호 서식";#N/A,#N/A,FALSE,"3(1)부7 기업합리";#N/A,#N/A,FALSE,"6호 소득금액";#N/A,#N/A,FALSE,"6호 첨부(익)";#N/A,#N/A,FALSE,"6호 첨부(손)";#N/A,#N/A,FALSE,"6-1호 수입금액";#N/A,#N/A,FALSE,"6-3(4)호 대손";#N/A,#N/A,FALSE,"6-3호 퇴충";#N/A,#N/A,FALSE,"6-3(3)호 단퇴";#N/A,#N/A,FALSE,"6-3(4)호 대손";#N/A,#N/A,FALSE,"6-4호 접대(갑)";#N/A,#N/A,FALSE,"6-4호 접대(을)";#N/A,#N/A,FALSE,"6-5호 외화(갑)";#N/A,#N/A,FALSE,"6-5호 외화(을)";#N/A,#N/A,FALSE,"6-11호 세금과공과";#N/A,#N/A,FALSE,"6-13호 기부금";#N/A,#N/A,FALSE,"8호 기부금조정";#N/A,#N/A,FALSE,"9호 자본금(갑)";#N/A,#N/A,FALSE,"9호 자본금(을)";#N/A,#N/A,FALSE,"10(3)호 주요계정";#N/A,#N/A,FALSE,"10(3)호 부표";#N/A,#N/A,FALSE,"요약 PL";#N/A,#N/A,FALSE,"10(4)호 조정수입";#N/A,#N/A,FALSE,"14(1)호 갑 주식"}</definedName>
    <definedName name="wrn.situation._.complete." hidden="1">{"balance france 1",#N/A,TRUE,"modele balance France";"balance france 2",#N/A,TRUE,"modele balance France";"balance france 3",#N/A,TRUE,"modele balance France";"page4",#N/A,TRUE,"modele balance France";"page5",#N/A,TRUE,"modele balance France";"page6",#N/A,TRUE,"modele balance France";"page7",#N/A,TRUE,"modele balance France";"page8",#N/A,TRUE,"modele balance France";"page9",#N/A,TRUE,"modele balance France";"page10",#N/A,TRUE,"modele balance France";"page11",#N/A,TRUE,"modele balance France";"page12",#N/A,TRUE,"modele balance France";"page13",#N/A,TRUE,"modele balance France";"page14",#N/A,TRUE,"modele balance France";"page15",#N/A,TRUE,"modele balance France";"vueis",#N/A,TRUE,"calcul IS";"FNP",#N/A,TRUE,"FNP";"CCA",#N/A,TRUE,"CCA et produits a recevoir";"I&amp;T",#N/A,TRUE,"TAXESet prov charges sociales";"Interets",#N/A,TRUE,"Intérêts financiers, PCA ";"Budget",#N/A,TRUE,"BUDG.XLS";"cashflow",#N/A,TRUE,"cash flow";"margemensuelle",#N/A,TRUE,"marge";"margecumulée",#N/A,TRUE,"marge cumulée";"inventory",#N/A,TRUE,"inventory Summary";"interco",#N/A,TRUE,"interco";"assets",#N/A,TRUE,"assets";"controle",#N/A,TRUE,"contrôle"}</definedName>
    <definedName name="wrn.Summary." hidden="1">{#N/A,#N/A,FALSE,"Summary"}</definedName>
    <definedName name="wrn.Summary._1" hidden="1">{#N/A,#N/A,FALSE,"Summary"}</definedName>
    <definedName name="wrn.UNIONGAS94TAXRETURN." hidden="1">{#N/A,#N/A,FALSE,"일반적사항";#N/A,#N/A,FALSE,"주요재무자료";#N/A,#N/A,FALSE,"표지";#N/A,#N/A,FALSE,"총괄표";#N/A,#N/A,FALSE,"1호 과표세액";#N/A,#N/A,FALSE,"1-2호 농어촌과표";#N/A,#N/A,FALSE,"2호 서식";#N/A,#N/A,FALSE,"2호부표 최저한세";#N/A,#N/A,FALSE,"3(1)호 공제감면";#N/A,#N/A,FALSE,"3(1) 부3 세액조정";#N/A,#N/A,FALSE,"3호 임시투자공제";#N/A,#N/A,FALSE,"조8호 기술인력";#N/A,#N/A,FALSE,"3(1)부7 기업합리";#N/A,#N/A,FALSE,"3(3)호(갑) 원천납부";#N/A,#N/A,FALSE,"5호 농어촌";#N/A,#N/A,FALSE,"5호2 농감면(갑)";#N/A,#N/A,FALSE,"6호 소득금액";#N/A,#N/A,FALSE,"6호 첨부(익)";#N/A,#N/A,FALSE,"6호 첨부(손)";#N/A,#N/A,FALSE,"6-1호 수입금액";#N/A,#N/A,FALSE,"6-3호 퇴충";#N/A,#N/A,FALSE,"6-3(4)호 대손";#N/A,#N/A,FALSE,"6-4호 접대(갑)";#N/A,#N/A,FALSE,"6-4호 접대(을)";#N/A,#N/A,FALSE,"6-5호 외화(갑)";#N/A,#N/A,FALSE,"6-6호(부표) 자본적지출";#N/A,#N/A,FALSE,"6-7호 가지급금(갑)";#N/A,#N/A,FALSE,"6-7호 가지급(을)";#N/A,#N/A,FALSE,"6-10호 재고자산";#N/A,#N/A,FALSE,"6-11호 세금과공과";#N/A,#N/A,FALSE,"6-12호 선급비용";#N/A,#N/A,FALSE,"6-13호 기부금";#N/A,#N/A,FALSE,"6-14호 부동산보유";#N/A,#N/A,FALSE,"8호 기부금조정";#N/A,#N/A,FALSE,"9호 자본금(갑)";#N/A,#N/A,FALSE,"9호 자본금(을)";#N/A,#N/A,FALSE,"10(3)호 주요계정";#N/A,#N/A,FALSE,"10(3)호 부표";#N/A,#N/A,FALSE,"10(4)호 조정수입";#N/A,#N/A,FALSE,"14(1)호 갑 주식";#N/A,#N/A,FALSE,"59호 해외특수";#N/A,#N/A,FALSE,"60호 갑 적정유보";#N/A,#N/A,FALSE,"60호 을 적정유보";#N/A,#N/A,FALSE,"요약 BS";#N/A,#N/A,FALSE,"요약 PL";#N/A,#N/A,FALSE,"요약원가";#N/A,#N/A,FALSE,"요약RE"}</definedName>
    <definedName name="wrn.간단한세무조정계산서." hidden="1">{#N/A,#N/A,TRUE,"1호 과표세액";#N/A,#N/A,TRUE,"1-2호 농어촌과표";#N/A,#N/A,TRUE,"2호 서식";#N/A,#N/A,TRUE,"2호부표 최저한세";#N/A,#N/A,TRUE,"3(1)호 공제감면";#N/A,#N/A,TRUE,"임시특별감면";#N/A,#N/A,TRUE,"3(1)부7 기업합리";#N/A,#N/A,TRUE,"5호 농어촌";#N/A,#N/A,TRUE,"5호2 농감면(갑)";#N/A,#N/A,TRUE,"6호 소득금액";#N/A,#N/A,TRUE,"6호 첨부(익)";#N/A,#N/A,TRUE,"6호 첨부(손)";#N/A,#N/A,TRUE,"감가총괄";#N/A,#N/A,TRUE,"6-6(3)호 감가(정액)";#N/A,#N/A,TRUE,"9호 자본금(갑)";#N/A,#N/A,TRUE,"9호 자본금(을)";#N/A,#N/A,TRUE,"10(3)호 주요계정";#N/A,#N/A,TRUE,"10(4)호 소득구분"}</definedName>
    <definedName name="wrn.건설기계사업소._.상반기보고." hidden="1">{#N/A,#N/A,FALSE,"사업총괄";#N/A,#N/A,FALSE,"장비사업";#N/A,#N/A,FALSE,"철구사업";#N/A,#N/A,FALSE,"준설사업"}</definedName>
    <definedName name="wrn.대차._.대조표." hidden="1">{#N/A,#N/A,TRUE,"대 차 대 조 표"}</definedName>
    <definedName name="wrn.변경예산." hidden="1">{#N/A,#N/A,FALSE,"변경관리예산";#N/A,#N/A,FALSE,"변경장비예산";#N/A,#N/A,FALSE,"변경준설예산";#N/A,#N/A,FALSE,"변경철구예산"}</definedName>
    <definedName name="wrn.사업현황." hidden="1">{#N/A,#N/A,FALSE,"표지";#N/A,#N/A,FALSE,"조직표";#N/A,#N/A,FALSE,"정직원인원";#N/A,#N/A,FALSE,"사업계획";#N/A,#N/A,FALSE,"부동산";#N/A,#N/A,FALSE,"장비현황";#N/A,#N/A,FALSE,"장비가동";#N/A,#N/A,FALSE,"매각장비";#N/A,#N/A,FALSE,"철구제작";#N/A,#N/A,FALSE,"철구수주";#N/A,#N/A,FALSE,"철구시설";#N/A,#N/A,FALSE,"준설장비";#N/A,#N/A,FALSE,"준설수량";#N/A,#N/A,FALSE,"골재인원";#N/A,#N/A,FALSE,"골재손익";#N/A,#N/A,FALSE,"노조현황"}</definedName>
    <definedName name="wrn.세무조정계산서." hidden="1">{#N/A,#N/A,TRUE,"총괄표";#N/A,#N/A,TRUE,"1호 과표세액";#N/A,#N/A,TRUE,"2호 서식";#N/A,#N/A,TRUE,"2호부표 최저한세";#N/A,#N/A,TRUE,"3(1)호 공제감면";#N/A,#N/A,TRUE,"3(1) 부1 공제감면";#N/A,#N/A,TRUE,"3(1) 부3 세액조정";#N/A,#N/A,TRUE,"3(1) 부4 공제감면";#N/A,#N/A,TRUE,"3(1) 부6 추가납부";#N/A,#N/A,TRUE,"조8호 기술인력";#N/A,#N/A,TRUE,"3(1)부7 기업합리";#N/A,#N/A,TRUE,"3(2)호 가산세";#N/A,#N/A,TRUE,"3(3)호(갑) 원천납부";#N/A,#N/A,TRUE,"5호 농어촌";#N/A,#N/A,TRUE,"5호2 농감면(갑)";#N/A,#N/A,TRUE,"5호2 농감면(을)";#N/A,#N/A,TRUE,"6호 소득금액";#N/A,#N/A,TRUE,"6호 첨부(익)";#N/A,#N/A,TRUE,"6호 첨부(손)";#N/A,#N/A,TRUE,"6-1호 수입금액";#N/A,#N/A,TRUE,"6-2(4)호 해외시장";#N/A,#N/A,TRUE,"6-2(6)호 해외사업";#N/A,#N/A,TRUE,"6-2(7)호 해외투자";#N/A,#N/A,TRUE,"6-2(12)호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자본적지출";#N/A,#N/A,TRUE,"6-7호 가지급금(갑)";#N/A,#N/A,TRUE,"6-7호 가지급(을)";#N/A,#N/A,TRUE,"6-10호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자본금(을)";#N/A,#N/A,TRUE,"10(2)호 소득공제";#N/A,#N/A,TRUE,"10(3)호 주요계정";#N/A,#N/A,TRUE,"10(3)호 부표";#N/A,#N/A,TRUE,"10(4)호 조정수입";#N/A,#N/A,TRUE,"10(4)호 소득구분";#N/A,#N/A,TRUE,"12호 중소검토";#N/A,#N/A,TRUE,"13호 비상장";#N/A,#N/A,TRUE,"14(1)호 갑 주식";#N/A,#N/A,TRUE,"60호 갑 적정유보";#N/A,#N/A,TRUE,"60호 을 적정유보"}</definedName>
    <definedName name="wrn.세무조정모든양식." hidden="1">{#N/A,#N/A,TRUE,"일반적사항";#N/A,#N/A,TRUE,"주요재무자료";#N/A,#N/A,TRUE,"표지";#N/A,#N/A,TRUE,"총괄표";#N/A,#N/A,TRUE,"1호 과표세액";#N/A,#N/A,TRUE,"2호 서식";#N/A,#N/A,TRUE,"2호부표 최저한세";#N/A,#N/A,TRUE,"3(1)호 공제감면";#N/A,#N/A,TRUE,"3(1) 부1 공제감면";#N/A,#N/A,TRUE,"3(1) 부3 세액조정";#N/A,#N/A,TRUE,"3(1) 부4 공제감면";#N/A,#N/A,TRUE,"3(1) 부6 추가납부";#N/A,#N/A,TRUE,"조8호 기술인력";#N/A,#N/A,TRUE,"3(1)부7 기업합리";#N/A,#N/A,TRUE,"3(2)호 가산세";#N/A,#N/A,TRUE,"3(2)호 가산세";#N/A,#N/A,TRUE,"3(3)호(갑) 원천납부";#N/A,#N/A,TRUE,"5호 농어촌";#N/A,#N/A,TRUE,"5호2 농감면(갑)";#N/A,#N/A,TRUE,"5호2 농감면(을)";#N/A,#N/A,TRUE,"6호 소득금액";#N/A,#N/A,TRUE,"6호 첨부(익)";#N/A,#N/A,TRUE,"6호 첨부(손)";#N/A,#N/A,TRUE,"6-1호 수입금액";#N/A,#N/A,TRUE,"6-2(4)호 해외시장";#N/A,#N/A,TRUE,"6-2(6)호 해외사업";#N/A,#N/A,TRUE,"6-2(7)호 해외투자";#N/A,#N/A,TRUE,"6-2(12)호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자본적지출";#N/A,#N/A,TRUE,"6-7호 가지급금(갑)";#N/A,#N/A,TRUE,"6-7호 가지급(을)";#N/A,#N/A,TRUE,"6-10호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자본금(을)";#N/A,#N/A,TRUE,"10(2)호 소득공제";#N/A,#N/A,TRUE,"10(3)호 주요계정";#N/A,#N/A,TRUE,"10(3)호 부표";#N/A,#N/A,TRUE,"10(4)호 조정수입";#N/A,#N/A,TRUE,"10(4)호 소득구분";#N/A,#N/A,TRUE,"12호 중소검토";#N/A,#N/A,TRUE,"13호 비상장";#N/A,#N/A,TRUE,"14(1)호 갑 주식";#N/A,#N/A,TRUE,"59호 해외특수";#N/A,#N/A,TRUE,"60호 갑 적정유보";#N/A,#N/A,TRUE,"60호 을 적정유보";#N/A,#N/A,TRUE,"요약 BS";#N/A,#N/A,TRUE,"요약 PL";#N/A,#N/A,TRUE,"요약원가";#N/A,#N/A,TRUE,"요약RE"}</definedName>
    <definedName name="wrn.예상손익." hidden="1">{#N/A,#N/A,FALSE,"예상손익";#N/A,#N/A,FALSE,"관리분석";#N/A,#N/A,FALSE,"장비분석";#N/A,#N/A,FALSE,"준설분석";#N/A,#N/A,FALSE,"철구분석"}</definedName>
    <definedName name="wrn.이력서._.자기소개서." hidden="1">{#N/A,#N/A,FALSE,"이력서&amp;자기소개서"}</definedName>
    <definedName name="wrn.조흥94세무." hidden="1">{#N/A,#N/A,TRUE,"일반적사항";#N/A,#N/A,TRUE,"주요재무자료";#N/A,#N/A,TRUE,"표지";#N/A,#N/A,TRUE,"총괄표";#N/A,#N/A,TRUE,"1호 과표세액";#N/A,#N/A,TRUE,"2호 서식";#N/A,#N/A,TRUE,"2호부표 최저한세";#N/A,#N/A,TRUE,"3(1)호 공제감면";#N/A,#N/A,TRUE,"3(1) 부1 공제감면";#N/A,#N/A,TRUE,"3(1) 부2 공제감면";#N/A,#N/A,TRUE,"3(1) 부3 세액조정";#N/A,#N/A,TRUE,"3(1)부7 기업합리";#N/A,#N/A,TRUE,"3(3)호(갑) 원천납부";#N/A,#N/A,TRUE,"4호 특별부가";#N/A,#N/A,TRUE,"5호 농어촌";#N/A,#N/A,TRUE,"5호2 농감면(갑)";#N/A,#N/A,TRUE,"5호2 농감면(을)";#N/A,#N/A,TRUE,"6호 소득금액";#N/A,#N/A,TRUE,"6호 첨부(익)";#N/A,#N/A,TRUE,"6호 첨부(손)";#N/A,#N/A,TRUE,"6-1호 수입금액";#N/A,#N/A,TRUE,"6-2(7)호 해외투자";#N/A,#N/A,TRUE,"6-3호 퇴충";#N/A,#N/A,TRUE,"6-3(3)호 단퇴";#N/A,#N/A,TRUE,"6-3(4)호 대손";#N/A,#N/A,TRUE,"6-4호 접대(갑)";#N/A,#N/A,TRUE,"6-4호 접대(을)";#N/A,#N/A,TRUE,"감가총괄표";#N/A,#N/A,TRUE,"6-6(3)호 감가(정율)";#N/A,#N/A,TRUE,"6-6호(부표) 자본적지출";#N/A,#N/A,TRUE,"6-10호 재고자산";#N/A,#N/A,TRUE,"6-11호 세금과공과";#N/A,#N/A,TRUE,"6-12호 선급비용";#N/A,#N/A,TRUE,"6-13호 기부금";#N/A,#N/A,TRUE,"기부1";#N/A,#N/A,TRUE,"기부2";#N/A,#N/A,TRUE,"8호 기부금조정";#N/A,#N/A,TRUE,"9호 자본금(갑)";#N/A,#N/A,TRUE,"9호 자본금(을)";#N/A,#N/A,TRUE,"10(3)호 주요계정";#N/A,#N/A,TRUE,"10(3)호 부표";#N/A,#N/A,TRUE,"10(4)호 조정수입";#N/A,#N/A,TRUE,"14(1)호 갑 주식";#N/A,#N/A,TRUE,"59호 해외특수";#N/A,#N/A,TRUE,"요약 BS";#N/A,#N/A,TRUE,"요약 PL";#N/A,#N/A,TRUE,"요약RE";#N/A,#N/A,TRUE,"조8호 기술인력";#N/A,#N/A,TRUE,"국공채감면";#N/A,#N/A,TRUE,"전기수정";#N/A,#N/A,TRUE,"퇴충명세";#N/A,#N/A,TRUE,"적금모집권유비";#N/A,#N/A,TRUE,"해외투자현황";#N/A,#N/A,TRUE,"외화감면";#N/A,#N/A,TRUE,"offshore";#N/A,#N/A,TRUE,"대손상각등명세"}</definedName>
    <definedName name="wrn.조흥축약94." hidden="1">{#N/A,#N/A,FALSE,"1호 과표세액";#N/A,#N/A,FALSE,"2호 서식";#N/A,#N/A,FALSE,"2호부표 최저한세";#N/A,#N/A,FALSE,"5호 농어촌";#N/A,#N/A,FALSE,"6호 소득금액";#N/A,#N/A,FALSE,"6호 첨부(익)";#N/A,#N/A,FALSE,"6호 첨부(손)";#N/A,#N/A,FALSE,"6-1호 수입금액";#N/A,#N/A,FALSE,"6-2(7)호 해외투자";#N/A,#N/A,FALSE,"6-3호 퇴충";#N/A,#N/A,FALSE,"6-3(3)호 단퇴";#N/A,#N/A,FALSE,"6-3(4)호 대손";#N/A,#N/A,FALSE,"6-4호 접대(갑)";#N/A,#N/A,FALSE,"6-4호 접대(을)";#N/A,#N/A,FALSE,"9호 자본금(갑)";#N/A,#N/A,FALSE,"9호 자본금(을)";#N/A,#N/A,FALSE,"조8호 기술인력";#N/A,#N/A,FALSE,"국공채감면";#N/A,#N/A,FALSE,"전기수정";#N/A,#N/A,FALSE,"퇴충명세";#N/A,#N/A,FALSE,"적금모집권유비";#N/A,#N/A,FALSE,"해외투자현황";#N/A,#N/A,FALSE,"외화감면";#N/A,#N/A,FALSE,"대손상각등명세"}</definedName>
    <definedName name="XRefColumnsCount" hidden="1">2</definedName>
    <definedName name="XRefCopyRangeCount" hidden="1">12</definedName>
    <definedName name="Y.S.KIM">#REF!,#REF!,#REF!,#REF!,#REF!,#REF!,#REF!,#REF!,#REF!,#REF!,#REF!,#REF!,#REF!,#REF!,#REF!,#REF!,#REF!,#REF!,#REF!</definedName>
    <definedName name="yoo10">#REF!</definedName>
    <definedName name="yoo2">#REF!</definedName>
    <definedName name="yoo3">#REF!</definedName>
    <definedName name="yoo4">#REF!</definedName>
    <definedName name="yoo8">#REF!</definedName>
    <definedName name="yyy" hidden="1">{#N/A,#N/A,FALSE,"지침";#N/A,#N/A,FALSE,"환경분석";#N/A,#N/A,FALSE,"Sheet16"}</definedName>
    <definedName name="ああああああ" hidden="1">{#N/A,#N/A,FALSE,"Categories";#N/A,#N/A,FALSE,"MRi INCH";#N/A,#N/A,FALSE,"COA Usage";#N/A,#N/A,FALSE,"Detail"}</definedName>
    <definedName name="ㄱㄱㄱㄱ" hidden="1">{#N/A,#N/A,FALSE,"지침";#N/A,#N/A,FALSE,"환경분석";#N/A,#N/A,FALSE,"Sheet16"}</definedName>
    <definedName name="갑지">#REF!</definedName>
    <definedName name="개발양수도3">#REF!</definedName>
    <definedName name="개선내용" hidden="1">{#N/A,#N/A,TRUE,"Y생산";#N/A,#N/A,TRUE,"Y판매";#N/A,#N/A,TRUE,"Y총물량";#N/A,#N/A,TRUE,"Y능력";#N/A,#N/A,TRUE,"YKD"}</definedName>
    <definedName name="개선실적" hidden="1">{#N/A,#N/A,TRUE,"Y생산";#N/A,#N/A,TRUE,"Y판매";#N/A,#N/A,TRUE,"Y총물량";#N/A,#N/A,TRUE,"Y능력";#N/A,#N/A,TRUE,"YKD"}</definedName>
    <definedName name="건설팀" hidden="1">{#N/A,#N/A,TRUE,"Y생산";#N/A,#N/A,TRUE,"Y판매";#N/A,#N/A,TRUE,"Y총물량";#N/A,#N/A,TRUE,"Y능력";#N/A,#N/A,TRUE,"YKD"}</definedName>
    <definedName name="건축1">#REF!</definedName>
    <definedName name="건축팀별" hidden="1">{#N/A,#N/A,FALSE,"지침";#N/A,#N/A,FALSE,"환경분석";#N/A,#N/A,FALSE,"Sheet16"}</definedName>
    <definedName name="견적">#REF!</definedName>
    <definedName name="계수" hidden="1">{#N/A,#N/A,FALSE,"지침";#N/A,#N/A,FALSE,"환경분석";#N/A,#N/A,FALSE,"Sheet16"}</definedName>
    <definedName name="골조">#REF!</definedName>
    <definedName name="공">#REF!</definedName>
    <definedName name="공기">#REF!</definedName>
    <definedName name="공문">#REF!</definedName>
    <definedName name="공사개요">#REF!</definedName>
    <definedName name="공종">#REF!</definedName>
    <definedName name="구분">#REF!</definedName>
    <definedName name="ㄴㅇ" hidden="1">{#N/A,#N/A,TRUE,"Y생산";#N/A,#N/A,TRUE,"Y판매";#N/A,#N/A,TRUE,"Y총물량";#N/A,#N/A,TRUE,"Y능력";#N/A,#N/A,TRUE,"YKD"}</definedName>
    <definedName name="ㄴㅇㄹㄴㅇㄹ" hidden="1">{#N/A,#N/A,TRUE,"Y생산";#N/A,#N/A,TRUE,"Y판매";#N/A,#N/A,TRUE,"Y총물량";#N/A,#N/A,TRUE,"Y능력";#N/A,#N/A,TRUE,"YKD"}</definedName>
    <definedName name="ㄴㅇㄹㄴㅇㄹㄴㅇㄹ" hidden="1">{#N/A,#N/A,TRUE,"Y생산";#N/A,#N/A,TRUE,"Y판매";#N/A,#N/A,TRUE,"Y총물량";#N/A,#N/A,TRUE,"Y능력";#N/A,#N/A,TRUE,"YKD"}</definedName>
    <definedName name="ㄴㅇㅇㄴ" hidden="1">{#N/A,#N/A,FALSE,"동부"}</definedName>
    <definedName name="내영.." hidden="1">{#N/A,#N/A,TRUE,"Y생산";#N/A,#N/A,TRUE,"Y판매";#N/A,#N/A,TRUE,"Y총물량";#N/A,#N/A,TRUE,"Y능력";#N/A,#N/A,TRUE,"YKD"}</definedName>
    <definedName name="내용" hidden="1">{#N/A,#N/A,TRUE,"Y생산";#N/A,#N/A,TRUE,"Y판매";#N/A,#N/A,TRUE,"Y총물량";#N/A,#N/A,TRUE,"Y능력";#N/A,#N/A,TRUE,"YKD"}</definedName>
    <definedName name="ㄷㄷㄷㄷㄷ" hidden="1">{#N/A,#N/A,FALSE,"동부"}</definedName>
    <definedName name="ㄷㅇ" hidden="1">{#N/A,#N/A,TRUE,"Y생산";#N/A,#N/A,TRUE,"Y판매";#N/A,#N/A,TRUE,"Y총물량";#N/A,#N/A,TRUE,"Y능력";#N/A,#N/A,TRUE,"YKD"}</definedName>
    <definedName name="단가기준" hidden="1">{#N/A,#N/A,TRUE,"Y생산";#N/A,#N/A,TRUE,"Y판매";#N/A,#N/A,TRUE,"Y총물량";#N/A,#N/A,TRUE,"Y능력";#N/A,#N/A,TRUE,"YKD"}</definedName>
    <definedName name="단기" hidden="1">{#N/A,#N/A,TRUE,"Y생산";#N/A,#N/A,TRUE,"Y판매";#N/A,#N/A,TRUE,"Y총물량";#N/A,#N/A,TRUE,"Y능력";#N/A,#N/A,TRUE,"YKD"}</definedName>
    <definedName name="담.원">#REF!</definedName>
    <definedName name="담보">#REF!</definedName>
    <definedName name="담보권">#REF!</definedName>
    <definedName name="대구200203빌딩별임차현황" hidden="1">{#N/A,#N/A,FALSE,"동부"}</definedName>
    <definedName name="대구200207" hidden="1">{#N/A,#N/A,FALSE,"동부"}</definedName>
    <definedName name="대구대구" hidden="1">{#N/A,#N/A,FALSE,"동부"}</definedName>
    <definedName name="대전조차2">#REF!</definedName>
    <definedName name="대차123" hidden="1">{#N/A,#N/A,TRUE,"표지";#N/A,#N/A,TRUE,"총괄표";#N/A,#N/A,TRUE,"1호 과표세액";#N/A,#N/A,TRUE,"2호 서식";#N/A,#N/A,TRUE,"3(1) 부3 세액조정";#N/A,#N/A,TRUE,"임시투자공제";#N/A,#N/A,TRUE,"조8호 기술인력";#N/A,#N/A,TRUE,"3(1)부7 기업합리";#N/A,#N/A,TRUE,"3(3)호(갑) 원천납부";#N/A,#N/A,TRUE,"6호 소득금액";#N/A,#N/A,TRUE,"6호 첨부(익)";#N/A,#N/A,TRUE,"6호 첨부(손)";#N/A,#N/A,TRUE,"6-1호 수입금액";#N/A,#N/A,TRUE,"6-2(4)호 해외시장";#N/A,#N/A,TRUE,"6-2(12)호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자본금(을)";#N/A,#N/A,TRUE,"10(3)호 주요계정";#N/A,#N/A,TRUE,"10(3)호 부표";#N/A,#N/A,TRUE,"10(4)호 조정수입";#N/A,#N/A,TRUE,"14(1)호 갑 주식";#N/A,#N/A,TRUE,"요약 BS";#N/A,#N/A,TRUE,"요약 PL";#N/A,#N/A,TRUE,"요약원가";#N/A,#N/A,TRUE,"요약RE"}</definedName>
    <definedName name="ㄹㄴㅇㄹㄴㅇㄹㄴㄱㄴㅇ" hidden="1">{#N/A,#N/A,FALSE,"지침";#N/A,#N/A,FALSE,"환경분석";#N/A,#N/A,FALSE,"Sheet16"}</definedName>
    <definedName name="ㅁ" hidden="1">{#N/A,#N/A,FALSE,"변경관리예산";#N/A,#N/A,FALSE,"변경장비예산";#N/A,#N/A,FALSE,"변경준설예산";#N/A,#N/A,FALSE,"변경철구예산"}</definedName>
    <definedName name="ㅁ1100">#REF!</definedName>
    <definedName name="ㅁ1140">#REF!</definedName>
    <definedName name="ㅁa1140">#REF!</definedName>
    <definedName name="ㅁㄴㅇㅁㄴㅇ" hidden="1">{#N/A,#N/A,TRUE,"Y생산";#N/A,#N/A,TRUE,"Y판매";#N/A,#N/A,TRUE,"Y총물량";#N/A,#N/A,TRUE,"Y능력";#N/A,#N/A,TRUE,"YKD"}</definedName>
    <definedName name="ㅁㄴㅇㅁㄴㅇㅁ" hidden="1">{#N/A,#N/A,TRUE,"Y생산";#N/A,#N/A,TRUE,"Y판매";#N/A,#N/A,TRUE,"Y총물량";#N/A,#N/A,TRUE,"Y능력";#N/A,#N/A,TRUE,"YKD"}</definedName>
    <definedName name="ㅁㅁㅁ" hidden="1">{#N/A,#N/A,FALSE,"지침";#N/A,#N/A,FALSE,"환경분석";#N/A,#N/A,FALSE,"Sheet16"}</definedName>
    <definedName name="메롱" hidden="1">{#N/A,#N/A,FALSE,"동부"}</definedName>
    <definedName name="멘트">#REF!</definedName>
    <definedName name="모래">#REF!</definedName>
    <definedName name="모래1">#REF!</definedName>
    <definedName name="무담보">#REF!</definedName>
    <definedName name="물랴자" hidden="1">{#N/A,#N/A,TRUE,"Y생산";#N/A,#N/A,TRUE,"Y판매";#N/A,#N/A,TRUE,"Y총물량";#N/A,#N/A,TRUE,"Y능력";#N/A,#N/A,TRUE,"YKD"}</definedName>
    <definedName name="물량수" hidden="1">{#N/A,#N/A,TRUE,"Y생산";#N/A,#N/A,TRUE,"Y판매";#N/A,#N/A,TRUE,"Y총물량";#N/A,#N/A,TRUE,"Y능력";#N/A,#N/A,TRUE,"YKD"}</definedName>
    <definedName name="물량수정" hidden="1">{#N/A,#N/A,TRUE,"Y생산";#N/A,#N/A,TRUE,"Y판매";#N/A,#N/A,TRUE,"Y총물량";#N/A,#N/A,TRUE,"Y능력";#N/A,#N/A,TRUE,"YKD"}</definedName>
    <definedName name="물량수정1" hidden="1">{#N/A,#N/A,TRUE,"Y생산";#N/A,#N/A,TRUE,"Y판매";#N/A,#N/A,TRUE,"Y총물량";#N/A,#N/A,TRUE,"Y능력";#N/A,#N/A,TRUE,"YKD"}</definedName>
    <definedName name="물량수정2" hidden="1">{#N/A,#N/A,TRUE,"Y생산";#N/A,#N/A,TRUE,"Y판매";#N/A,#N/A,TRUE,"Y총물량";#N/A,#N/A,TRUE,"Y능력";#N/A,#N/A,TRUE,"YKD"}</definedName>
    <definedName name="물량정" hidden="1">{#N/A,#N/A,TRUE,"Y생산";#N/A,#N/A,TRUE,"Y판매";#N/A,#N/A,TRUE,"Y총물량";#N/A,#N/A,TRUE,"Y능력";#N/A,#N/A,TRUE,"YKD"}</definedName>
    <definedName name="물량조정" hidden="1">{#N/A,#N/A,TRUE,"Y생산";#N/A,#N/A,TRUE,"Y판매";#N/A,#N/A,TRUE,"Y총물량";#N/A,#N/A,TRUE,"Y능력";#N/A,#N/A,TRUE,"YKD"}</definedName>
    <definedName name="물수" hidden="1">{#N/A,#N/A,TRUE,"Y생산";#N/A,#N/A,TRUE,"Y판매";#N/A,#N/A,TRUE,"Y총물량";#N/A,#N/A,TRUE,"Y능력";#N/A,#N/A,TRUE,"YKD"}</definedName>
    <definedName name="뮬소" hidden="1">{#N/A,#N/A,TRUE,"Y생산";#N/A,#N/A,TRUE,"Y판매";#N/A,#N/A,TRUE,"Y총물량";#N/A,#N/A,TRUE,"Y능력";#N/A,#N/A,TRUE,"YKD"}</definedName>
    <definedName name="미화" hidden="1">{#N/A,#N/A,FALSE,"이력서&amp;자기소개서"}</definedName>
    <definedName name="민감도" hidden="1">#REF!</definedName>
    <definedName name="ㅂㅂ">#REF!</definedName>
    <definedName name="ㅂㅈㄷㄷㄷ">#N/A</definedName>
    <definedName name="바바라" hidden="1">{#N/A,#N/A,TRUE,"Y생산";#N/A,#N/A,TRUE,"Y판매";#N/A,#N/A,TRUE,"Y총물량";#N/A,#N/A,TRUE,"Y능력";#N/A,#N/A,TRUE,"YKD"}</definedName>
    <definedName name="배분전" hidden="1">{#N/A,#N/A,TRUE,"대 차 대 조 표"}</definedName>
    <definedName name="별지66" hidden="1">{#N/A,#N/A,TRUE,"표지";#N/A,#N/A,TRUE,"총괄표";#N/A,#N/A,TRUE,"1호 과표세액";#N/A,#N/A,TRUE,"2호 서식";#N/A,#N/A,TRUE,"3(1) 부3 세액조정";#N/A,#N/A,TRUE,"임시투자공제";#N/A,#N/A,TRUE,"조8호 기술인력";#N/A,#N/A,TRUE,"3(1)부7 기업합리";#N/A,#N/A,TRUE,"3(3)호(갑) 원천납부";#N/A,#N/A,TRUE,"6호 소득금액";#N/A,#N/A,TRUE,"6호 첨부(익)";#N/A,#N/A,TRUE,"6호 첨부(손)";#N/A,#N/A,TRUE,"6-1호 수입금액";#N/A,#N/A,TRUE,"6-2(4)호 해외시장";#N/A,#N/A,TRUE,"6-2(12)호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자본금(을)";#N/A,#N/A,TRUE,"10(3)호 주요계정";#N/A,#N/A,TRUE,"10(3)호 부표";#N/A,#N/A,TRUE,"10(4)호 조정수입";#N/A,#N/A,TRUE,"14(1)호 갑 주식";#N/A,#N/A,TRUE,"요약 BS";#N/A,#N/A,TRUE,"요약 PL";#N/A,#N/A,TRUE,"요약원가";#N/A,#N/A,TRUE,"요약RE"}</definedName>
    <definedName name="분기별" hidden="1">{#N/A,#N/A,TRUE,"Y생산";#N/A,#N/A,TRUE,"Y판매";#N/A,#N/A,TRUE,"Y총물량";#N/A,#N/A,TRUE,"Y능력";#N/A,#N/A,TRUE,"YKD"}</definedName>
    <definedName name="비" hidden="1">{#N/A,#N/A,FALSE,"동부"}</definedName>
    <definedName name="빌" hidden="1">{#N/A,#N/A,FALSE,"동부"}</definedName>
    <definedName name="빌딩" hidden="1">{#N/A,#N/A,FALSE,"동부"}</definedName>
    <definedName name="빌딩2" hidden="1">{#N/A,#N/A,FALSE,"동부"}</definedName>
    <definedName name="빌딩3" hidden="1">{#N/A,#N/A,FALSE,"동부"}</definedName>
    <definedName name="빌딩별2" hidden="1">{#N/A,#N/A,FALSE,"동부"}</definedName>
    <definedName name="빌딩별강남" hidden="1">{#N/A,#N/A,FALSE,"동부"}</definedName>
    <definedName name="사" hidden="1">{#N/A,#N/A,FALSE,"지침";#N/A,#N/A,FALSE,"환경분석";#N/A,#N/A,FALSE,"Sheet16"}</definedName>
    <definedName name="사1" hidden="1">{#N/A,#N/A,FALSE,"지침";#N/A,#N/A,FALSE,"환경분석";#N/A,#N/A,FALSE,"Sheet16"}</definedName>
    <definedName name="상각" hidden="1">{#N/A,#N/A,TRUE,"표지";#N/A,#N/A,TRUE,"총괄표";#N/A,#N/A,TRUE,"1호 과표세액";#N/A,#N/A,TRUE,"2호 서식";#N/A,#N/A,TRUE,"3(1) 부3 세액조정";#N/A,#N/A,TRUE,"임시투자공제";#N/A,#N/A,TRUE,"조8호 기술인력";#N/A,#N/A,TRUE,"3(1)부7 기업합리";#N/A,#N/A,TRUE,"3(3)호(갑) 원천납부";#N/A,#N/A,TRUE,"6호 소득금액";#N/A,#N/A,TRUE,"6호 첨부(익)";#N/A,#N/A,TRUE,"6호 첨부(손)";#N/A,#N/A,TRUE,"6-1호 수입금액";#N/A,#N/A,TRUE,"6-2(4)호 해외시장";#N/A,#N/A,TRUE,"6-2(12)호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자본금(을)";#N/A,#N/A,TRUE,"10(3)호 주요계정";#N/A,#N/A,TRUE,"10(3)호 부표";#N/A,#N/A,TRUE,"10(4)호 조정수입";#N/A,#N/A,TRUE,"14(1)호 갑 주식";#N/A,#N/A,TRUE,"요약 BS";#N/A,#N/A,TRUE,"요약 PL";#N/A,#N/A,TRUE,"요약원가";#N/A,#N/A,TRUE,"요약RE"}</definedName>
    <definedName name="서비스임대" hidden="1">#REF!</definedName>
    <definedName name="세전익익" hidden="1">{#N/A,#N/A,FALSE,"지침";#N/A,#N/A,FALSE,"환경분석";#N/A,#N/A,FALSE,"Sheet16"}</definedName>
    <definedName name="손익">#REF!</definedName>
    <definedName name="손익변경" hidden="1">{#N/A,#N/A,FALSE,"지침";#N/A,#N/A,FALSE,"환경분석";#N/A,#N/A,FALSE,"Sheet16"}</definedName>
    <definedName name="수광비" hidden="1">{#N/A,#N/A,FALSE,"동부"}</definedName>
    <definedName name="수도" hidden="1">{#N/A,#N/A,FALSE,"동부"}</definedName>
    <definedName name="수입" hidden="1">{#N/A,#N/A,TRUE,"대 차 대 조 표"}</definedName>
    <definedName name="수정물량" hidden="1">{#N/A,#N/A,TRUE,"Y생산";#N/A,#N/A,TRUE,"Y판매";#N/A,#N/A,TRUE,"Y총물량";#N/A,#N/A,TRUE,"Y능력";#N/A,#N/A,TRUE,"YKD"}</definedName>
    <definedName name="시">#REF!</definedName>
    <definedName name="ㅇ" hidden="1">{#N/A,#N/A,FALSE,"동부"}</definedName>
    <definedName name="ㅇㄴㄻㄴㅇㄹ" hidden="1">{#N/A,#N/A,TRUE,"Y생산";#N/A,#N/A,TRUE,"Y판매";#N/A,#N/A,TRUE,"Y총물량";#N/A,#N/A,TRUE,"Y능력";#N/A,#N/A,TRUE,"YKD"}</definedName>
    <definedName name="ㅇㄴㅇㄹㄴㅇ" hidden="1">{#N/A,#N/A,TRUE,"Y생산";#N/A,#N/A,TRUE,"Y판매";#N/A,#N/A,TRUE,"Y총물량";#N/A,#N/A,TRUE,"Y능력";#N/A,#N/A,TRUE,"YKD"}</definedName>
    <definedName name="ㅇㄹㄴㅇㄹ" hidden="1">{#N/A,#N/A,TRUE,"Y생산";#N/A,#N/A,TRUE,"Y판매";#N/A,#N/A,TRUE,"Y총물량";#N/A,#N/A,TRUE,"Y능력";#N/A,#N/A,TRUE,"YKD"}</definedName>
    <definedName name="ㅇㄹㅇㄴㄹ" hidden="1">{#N/A,#N/A,TRUE,"Y생산";#N/A,#N/A,TRUE,"Y판매";#N/A,#N/A,TRUE,"Y총물량";#N/A,#N/A,TRUE,"Y능력";#N/A,#N/A,TRUE,"YKD"}</definedName>
    <definedName name="ㅇㄹㅇㄹ" hidden="1">{#N/A,#N/A,TRUE,"Y생산";#N/A,#N/A,TRUE,"Y판매";#N/A,#N/A,TRUE,"Y총물량";#N/A,#N/A,TRUE,"Y능력";#N/A,#N/A,TRUE,"YKD"}</definedName>
    <definedName name="ㅇㄹㅇㄹㅇㄹㅇㄹㅇㄹㅇㄹㅇㄹㅇㄹ" hidden="1">{#N/A,#N/A,FALSE,"이력서&amp;자기소개서"}</definedName>
    <definedName name="ㅇㅇ" hidden="1">{#N/A,#N/A,FALSE,"사업총괄";#N/A,#N/A,FALSE,"장비사업";#N/A,#N/A,FALSE,"철구사업";#N/A,#N/A,FALSE,"준설사업"}</definedName>
    <definedName name="ㅇㅇㅇ" hidden="1">{#N/A,#N/A,FALSE,"지침";#N/A,#N/A,FALSE,"환경분석";#N/A,#N/A,FALSE,"Sheet16"}</definedName>
    <definedName name="ㅇㅇㅇㅇ" hidden="1">{#N/A,#N/A,FALSE,"지침";#N/A,#N/A,FALSE,"환경분석";#N/A,#N/A,FALSE,"Sheet16"}</definedName>
    <definedName name="ㅇㅇㅇㅇㅇㅇ" hidden="1">{#N/A,#N/A,FALSE,"지침";#N/A,#N/A,FALSE,"환경분석";#N/A,#N/A,FALSE,"Sheet16"}</definedName>
    <definedName name="ㅇㅇㅇㅇㅇㅇㅇㅇㅇㅇㅇ" hidden="1">{#N/A,#N/A,TRUE,"Y생산";#N/A,#N/A,TRUE,"Y판매";#N/A,#N/A,TRUE,"Y총물량";#N/A,#N/A,TRUE,"Y능력";#N/A,#N/A,TRUE,"YKD"}</definedName>
    <definedName name="양석">#REF!,#REF!,#REF!,#REF!,#REF!,#REF!,#REF!,#REF!,#REF!,#REF!,#REF!,#REF!,#REF!,#REF!,#REF!,#REF!,#REF!,#REF!,#REF!</definedName>
    <definedName name="영업" hidden="1">{#N/A,#N/A,FALSE,"지침";#N/A,#N/A,FALSE,"환경분석";#N/A,#N/A,FALSE,"Sheet16"}</definedName>
    <definedName name="영업현금" hidden="1">{#N/A,#N/A,FALSE,"지침";#N/A,#N/A,FALSE,"환경분석";#N/A,#N/A,FALSE,"Sheet16"}</definedName>
    <definedName name="영역">#REF!</definedName>
    <definedName name="영역1">#REF!</definedName>
    <definedName name="운영관리" hidden="1">{#N/A,#N/A,TRUE,"Y생산";#N/A,#N/A,TRUE,"Y판매";#N/A,#N/A,TRUE,"Y총물량";#N/A,#N/A,TRUE,"Y능력";#N/A,#N/A,TRUE,"YKD"}</definedName>
    <definedName name="운영팀2" hidden="1">{#N/A,#N/A,TRUE,"Y생산";#N/A,#N/A,TRUE,"Y판매";#N/A,#N/A,TRUE,"Y총물량";#N/A,#N/A,TRUE,"Y능력";#N/A,#N/A,TRUE,"YKD"}</definedName>
    <definedName name="원금">#REF!</definedName>
    <definedName name="원천납부8" hidden="1">{#N/A,#N/A,FALSE,"1호 과표세액";#N/A,#N/A,FALSE,"2호 서식";#N/A,#N/A,FALSE,"2호부표 최저한세";#N/A,#N/A,FALSE,"5호 농어촌";#N/A,#N/A,FALSE,"6호 소득금액";#N/A,#N/A,FALSE,"6호 첨부(익)";#N/A,#N/A,FALSE,"6호 첨부(손)";#N/A,#N/A,FALSE,"6-1호 수입금액";#N/A,#N/A,FALSE,"6-2(7)호 해외투자";#N/A,#N/A,FALSE,"6-3호 퇴충";#N/A,#N/A,FALSE,"6-3(3)호 단퇴";#N/A,#N/A,FALSE,"6-3(4)호 대손";#N/A,#N/A,FALSE,"6-4호 접대(갑)";#N/A,#N/A,FALSE,"6-4호 접대(을)";#N/A,#N/A,FALSE,"9호 자본금(갑)";#N/A,#N/A,FALSE,"9호 자본금(을)";#N/A,#N/A,FALSE,"조8호 기술인력";#N/A,#N/A,FALSE,"국공채감면";#N/A,#N/A,FALSE,"전기수정";#N/A,#N/A,FALSE,"퇴충명세";#N/A,#N/A,FALSE,"적금모집권유비";#N/A,#N/A,FALSE,"해외투자현황";#N/A,#N/A,FALSE,"외화감면";#N/A,#N/A,FALSE,"대손상각등명세"}</definedName>
    <definedName name="이쁘니" hidden="1">{#N/A,#N/A,TRUE,"일반적사항";#N/A,#N/A,TRUE,"주요재무자료";#N/A,#N/A,TRUE,"표지";#N/A,#N/A,TRUE,"총괄표";#N/A,#N/A,TRUE,"1호 과표세액";#N/A,#N/A,TRUE,"2호 서식";#N/A,#N/A,TRUE,"2호부표 최저한세";#N/A,#N/A,TRUE,"3(1)호 공제감면";#N/A,#N/A,TRUE,"3(1) 부1 공제감면";#N/A,#N/A,TRUE,"3(1) 부2 공제감면";#N/A,#N/A,TRUE,"3(1) 부3 세액조정";#N/A,#N/A,TRUE,"3(1)부7 기업합리";#N/A,#N/A,TRUE,"3(3)호(갑) 원천납부";#N/A,#N/A,TRUE,"4호 특별부가";#N/A,#N/A,TRUE,"5호 농어촌";#N/A,#N/A,TRUE,"5호2 농감면(갑)";#N/A,#N/A,TRUE,"5호2 농감면(을)";#N/A,#N/A,TRUE,"6호 소득금액";#N/A,#N/A,TRUE,"6호 첨부(익)";#N/A,#N/A,TRUE,"6호 첨부(손)";#N/A,#N/A,TRUE,"6-1호 수입금액";#N/A,#N/A,TRUE,"6-2(7)호 해외투자";#N/A,#N/A,TRUE,"6-3호 퇴충";#N/A,#N/A,TRUE,"6-3(3)호 단퇴";#N/A,#N/A,TRUE,"6-3(4)호 대손";#N/A,#N/A,TRUE,"6-4호 접대(갑)";#N/A,#N/A,TRUE,"6-4호 접대(을)";#N/A,#N/A,TRUE,"감가총괄표";#N/A,#N/A,TRUE,"6-6(3)호 감가(정율)";#N/A,#N/A,TRUE,"6-6호(부표) 자본적지출";#N/A,#N/A,TRUE,"6-10호 재고자산";#N/A,#N/A,TRUE,"6-11호 세금과공과";#N/A,#N/A,TRUE,"6-12호 선급비용";#N/A,#N/A,TRUE,"6-13호 기부금";#N/A,#N/A,TRUE,"기부1";#N/A,#N/A,TRUE,"기부2";#N/A,#N/A,TRUE,"8호 기부금조정";#N/A,#N/A,TRUE,"9호 자본금(갑)";#N/A,#N/A,TRUE,"9호 자본금(을)";#N/A,#N/A,TRUE,"10(3)호 주요계정";#N/A,#N/A,TRUE,"10(3)호 부표";#N/A,#N/A,TRUE,"10(4)호 조정수입";#N/A,#N/A,TRUE,"14(1)호 갑 주식";#N/A,#N/A,TRUE,"59호 해외특수";#N/A,#N/A,TRUE,"요약 BS";#N/A,#N/A,TRUE,"요약 PL";#N/A,#N/A,TRUE,"요약RE";#N/A,#N/A,TRUE,"조8호 기술인력";#N/A,#N/A,TRUE,"국공채감면";#N/A,#N/A,TRUE,"전기수정";#N/A,#N/A,TRUE,"퇴충명세";#N/A,#N/A,TRUE,"적금모집권유비";#N/A,#N/A,TRUE,"해외투자현황";#N/A,#N/A,TRUE,"외화감면";#N/A,#N/A,TRUE,"offshore";#N/A,#N/A,TRUE,"대손상각등명세"}</definedName>
    <definedName name="이슈" hidden="1">{#N/A,#N/A,FALSE,"지침";#N/A,#N/A,FALSE,"환경분석";#N/A,#N/A,FALSE,"Sheet16"}</definedName>
    <definedName name="이이" hidden="1">{#N/A,#N/A,TRUE,"Y생산";#N/A,#N/A,TRUE,"Y판매";#N/A,#N/A,TRUE,"Y총물량";#N/A,#N/A,TRUE,"Y능력";#N/A,#N/A,TRUE,"YKD"}</definedName>
    <definedName name="이자">#REF!</definedName>
    <definedName name="이준호">#REF!</definedName>
    <definedName name="이희선">#REF!,#REF!</definedName>
    <definedName name="인테리어팀" hidden="1">{#N/A,#N/A,TRUE,"Y생산";#N/A,#N/A,TRUE,"Y판매";#N/A,#N/A,TRUE,"Y총물량";#N/A,#N/A,TRUE,"Y능력";#N/A,#N/A,TRUE,"YKD"}</definedName>
    <definedName name="일위대가">#REF!</definedName>
    <definedName name="임차풀" hidden="1">{#N/A,#N/A,FALSE,"동부"}</definedName>
    <definedName name="장기" hidden="1">{#N/A,#N/A,TRUE,"Y생산";#N/A,#N/A,TRUE,"Y판매";#N/A,#N/A,TRUE,"Y총물량";#N/A,#N/A,TRUE,"Y능력";#N/A,#N/A,TRUE,"YKD"}</definedName>
    <definedName name="재무제표" hidden="1">{#N/A,#N/A,TRUE,"표지";#N/A,#N/A,TRUE,"총괄표";#N/A,#N/A,TRUE,"1호 과표세액";#N/A,#N/A,TRUE,"2호 서식";#N/A,#N/A,TRUE,"3(1) 부3 세액조정";#N/A,#N/A,TRUE,"임시투자공제";#N/A,#N/A,TRUE,"조8호 기술인력";#N/A,#N/A,TRUE,"3(1)부7 기업합리";#N/A,#N/A,TRUE,"3(3)호(갑) 원천납부";#N/A,#N/A,TRUE,"6호 소득금액";#N/A,#N/A,TRUE,"6호 첨부(익)";#N/A,#N/A,TRUE,"6호 첨부(손)";#N/A,#N/A,TRUE,"6-1호 수입금액";#N/A,#N/A,TRUE,"6-2(4)호 해외시장";#N/A,#N/A,TRUE,"6-2(12)호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자본금(을)";#N/A,#N/A,TRUE,"10(3)호 주요계정";#N/A,#N/A,TRUE,"10(3)호 부표";#N/A,#N/A,TRUE,"10(4)호 조정수입";#N/A,#N/A,TRUE,"14(1)호 갑 주식";#N/A,#N/A,TRUE,"요약 BS";#N/A,#N/A,TRUE,"요약 PL";#N/A,#N/A,TRUE,"요약원가";#N/A,#N/A,TRUE,"요약RE"}</definedName>
    <definedName name="전자CF" hidden="1">{#N/A,#N/A,FALSE,"지침";#N/A,#N/A,FALSE,"환경분석";#N/A,#N/A,FALSE,"Sheet16"}</definedName>
    <definedName name="주" hidden="1">{#N/A,#N/A,FALSE,"지침";#N/A,#N/A,FALSE,"환경분석";#N/A,#N/A,FALSE,"Sheet16"}</definedName>
    <definedName name="주택매출">#REF!</definedName>
    <definedName name="주택원가">#REF!</definedName>
    <definedName name="주택최종">#REF!</definedName>
    <definedName name="집계">#REF!</definedName>
    <definedName name="창">#REF!</definedName>
    <definedName name="총괄표" hidden="1">{#N/A,#N/A,FALSE,"1호 과표세액";#N/A,#N/A,FALSE,"2호 서식";#N/A,#N/A,FALSE,"2호부표 최저한세";#N/A,#N/A,FALSE,"5호 농어촌";#N/A,#N/A,FALSE,"6호 소득금액";#N/A,#N/A,FALSE,"6호 첨부(익)";#N/A,#N/A,FALSE,"6호 첨부(손)";#N/A,#N/A,FALSE,"6-1호 수입금액";#N/A,#N/A,FALSE,"6-2(7)호 해외투자";#N/A,#N/A,FALSE,"6-3호 퇴충";#N/A,#N/A,FALSE,"6-3(3)호 단퇴";#N/A,#N/A,FALSE,"6-3(4)호 대손";#N/A,#N/A,FALSE,"6-4호 접대(갑)";#N/A,#N/A,FALSE,"6-4호 접대(을)";#N/A,#N/A,FALSE,"9호 자본금(갑)";#N/A,#N/A,FALSE,"9호 자본금(을)";#N/A,#N/A,FALSE,"조8호 기술인력";#N/A,#N/A,FALSE,"국공채감면";#N/A,#N/A,FALSE,"전기수정";#N/A,#N/A,FALSE,"퇴충명세";#N/A,#N/A,FALSE,"적금모집권유비";#N/A,#N/A,FALSE,"해외투자현황";#N/A,#N/A,FALSE,"외화감면";#N/A,#N/A,FALSE,"대손상각등명세"}</definedName>
    <definedName name="출력">#REF!</definedName>
    <definedName name="출판" hidden="1">{#N/A,#N/A,FALSE,"지침";#N/A,#N/A,FALSE,"환경분석";#N/A,#N/A,FALSE,"Sheet16"}</definedName>
    <definedName name="출판C">#REF!</definedName>
    <definedName name="출판CF">#REF!</definedName>
    <definedName name="충돌">#N/A</definedName>
    <definedName name="캐쉬" hidden="1">{#N/A,#N/A,FALSE,"지침";#N/A,#N/A,FALSE,"환경분석";#N/A,#N/A,FALSE,"Sheet16"}</definedName>
    <definedName name="테넌트" hidden="1">{#N/A,#N/A,TRUE,"Y생산";#N/A,#N/A,TRUE,"Y판매";#N/A,#N/A,TRUE,"Y총물량";#N/A,#N/A,TRUE,"Y능력";#N/A,#N/A,TRUE,"YKD"}</definedName>
    <definedName name="테넌트팀" hidden="1">{#N/A,#N/A,TRUE,"Y생산";#N/A,#N/A,TRUE,"Y판매";#N/A,#N/A,TRUE,"Y총물량";#N/A,#N/A,TRUE,"Y능력";#N/A,#N/A,TRUE,"YKD"}</definedName>
    <definedName name="통합본관" hidden="1">#REF!</definedName>
    <definedName name="퇴충명세" hidden="1">{#N/A,#N/A,TRUE,"일반적사항";#N/A,#N/A,TRUE,"주요재무자료";#N/A,#N/A,TRUE,"표지";#N/A,#N/A,TRUE,"총괄표";#N/A,#N/A,TRUE,"1호 과표세액";#N/A,#N/A,TRUE,"2호 서식";#N/A,#N/A,TRUE,"2호부표 최저한세";#N/A,#N/A,TRUE,"3(1)호 공제감면";#N/A,#N/A,TRUE,"3(1) 부1 공제감면";#N/A,#N/A,TRUE,"3(1) 부3 세액조정";#N/A,#N/A,TRUE,"3(1) 부4 공제감면";#N/A,#N/A,TRUE,"3(1) 부6 추가납부";#N/A,#N/A,TRUE,"조8호 기술인력";#N/A,#N/A,TRUE,"3(1)부7 기업합리";#N/A,#N/A,TRUE,"3(2)호 가산세";#N/A,#N/A,TRUE,"3(2)호 가산세";#N/A,#N/A,TRUE,"3(3)호(갑) 원천납부";#N/A,#N/A,TRUE,"5호 농어촌";#N/A,#N/A,TRUE,"5호2 농감면(갑)";#N/A,#N/A,TRUE,"5호2 농감면(을)";#N/A,#N/A,TRUE,"6호 소득금액";#N/A,#N/A,TRUE,"6호 첨부(익)";#N/A,#N/A,TRUE,"6호 첨부(손)";#N/A,#N/A,TRUE,"6-1호 수입금액";#N/A,#N/A,TRUE,"6-2(4)호 해외시장";#N/A,#N/A,TRUE,"6-2(6)호 해외사업";#N/A,#N/A,TRUE,"6-2(7)호 해외투자";#N/A,#N/A,TRUE,"6-2(12)호 수출손실";#N/A,#N/A,TRUE,"6-3호 퇴충";#N/A,#N/A,TRUE,"6-3(3)호 단퇴";#N/A,#N/A,TRUE,"6-3(4)호 대손";#N/A,#N/A,TRUE,"6-4호 접대(갑)";#N/A,#N/A,TRUE,"6-4호 접대(을)";#N/A,#N/A,TRUE,"6-5호 외화(갑)";#N/A,#N/A,TRUE,"6-5호 외화(을)";#N/A,#N/A,TRUE,"6-6호(부표) 자본적지출";#N/A,#N/A,TRUE,"6-7호 가지급금(갑)";#N/A,#N/A,TRUE,"6-7호 가지급(을)";#N/A,#N/A,TRUE,"6-10호 재고자산";#N/A,#N/A,TRUE,"6-11호 세금과공과";#N/A,#N/A,TRUE,"6-12호 선급비용";#N/A,#N/A,TRUE,"6-13호 기부금";#N/A,#N/A,TRUE,"6-14호 부동산보유";#N/A,#N/A,TRUE,"8호 기부금조정";#N/A,#N/A,TRUE,"9호 자본금(갑)";#N/A,#N/A,TRUE,"9호 자본금(을)";#N/A,#N/A,TRUE,"10(2)호 소득공제";#N/A,#N/A,TRUE,"10(3)호 주요계정";#N/A,#N/A,TRUE,"10(3)호 부표";#N/A,#N/A,TRUE,"10(4)호 조정수입";#N/A,#N/A,TRUE,"10(4)호 소득구분";#N/A,#N/A,TRUE,"12호 중소검토";#N/A,#N/A,TRUE,"13호 비상장";#N/A,#N/A,TRUE,"14(1)호 갑 주식";#N/A,#N/A,TRUE,"59호 해외특수";#N/A,#N/A,TRUE,"60호 갑 적정유보";#N/A,#N/A,TRUE,"60호 을 적정유보";#N/A,#N/A,TRUE,"요약 BS";#N/A,#N/A,TRUE,"요약 PL";#N/A,#N/A,TRUE,"요약원가";#N/A,#N/A,TRUE,"요약RE"}</definedName>
    <definedName name="투입">#REF!</definedName>
    <definedName name="티지" hidden="1">{#N/A,#N/A,FALSE,"LoanAssumptions"}</definedName>
    <definedName name="포장2월ocf" hidden="1">{#N/A,#N/A,FALSE,"지침";#N/A,#N/A,FALSE,"환경분석";#N/A,#N/A,FALSE,"Sheet16"}</definedName>
    <definedName name="포장ocf" hidden="1">{#N/A,#N/A,FALSE,"지침";#N/A,#N/A,FALSE,"환경분석";#N/A,#N/A,FALSE,"Sheet16"}</definedName>
    <definedName name="표지" hidden="1">{#N/A,#N/A,FALSE,"동부"}</definedName>
    <definedName name="풀" hidden="1">{#N/A,#N/A,FALSE,"동부"}</definedName>
    <definedName name="한영사전" hidden="1">{#N/A,#N/A,TRUE,"Y생산";#N/A,#N/A,TRUE,"Y판매";#N/A,#N/A,TRUE,"Y총물량";#N/A,#N/A,TRUE,"Y능력";#N/A,#N/A,TRUE,"YKD"}</definedName>
    <definedName name="현장관리">#REF!</definedName>
    <definedName name="현천기자재비">#REF!</definedName>
    <definedName name="현황" hidden="1">{#N/A,#N/A,TRUE,"Y생산";#N/A,#N/A,TRUE,"Y판매";#N/A,#N/A,TRUE,"Y총물량";#N/A,#N/A,TRUE,"Y능력";#N/A,#N/A,TRUE,"YKD"}</definedName>
    <definedName name="회" hidden="1">{#N/A,#N/A,FALSE,"동부"}</definedName>
    <definedName name="회계보고서" hidden="1">{#N/A,#N/A,TRUE,"대 차 대 조 표"}</definedName>
    <definedName name="희선">#REF!,#REF!,#REF!,#REF!,#REF!,#REF!,#REF!,#REF!,#REF!,#REF!,#REF!,#REF!,#REF!,#REF!,#REF!,#REF!,#REF!,#REF!,#REF!</definedName>
    <definedName name="ㅏ나앙" hidden="1">{#N/A,#N/A,FALSE,"1호 과표세액";#N/A,#N/A,FALSE,"2호 서식";#N/A,#N/A,FALSE,"2호부표 최저한세";#N/A,#N/A,FALSE,"5호 농어촌";#N/A,#N/A,FALSE,"6호 소득금액";#N/A,#N/A,FALSE,"6호 첨부(익)";#N/A,#N/A,FALSE,"6호 첨부(손)";#N/A,#N/A,FALSE,"6-1호 수입금액";#N/A,#N/A,FALSE,"6-2(7)호 해외투자";#N/A,#N/A,FALSE,"6-3호 퇴충";#N/A,#N/A,FALSE,"6-3(3)호 단퇴";#N/A,#N/A,FALSE,"6-3(4)호 대손";#N/A,#N/A,FALSE,"6-4호 접대(갑)";#N/A,#N/A,FALSE,"6-4호 접대(을)";#N/A,#N/A,FALSE,"9호 자본금(갑)";#N/A,#N/A,FALSE,"9호 자본금(을)";#N/A,#N/A,FALSE,"조8호 기술인력";#N/A,#N/A,FALSE,"국공채감면";#N/A,#N/A,FALSE,"전기수정";#N/A,#N/A,FALSE,"퇴충명세";#N/A,#N/A,FALSE,"적금모집권유비";#N/A,#N/A,FALSE,"해외투자현황";#N/A,#N/A,FALSE,"외화감면";#N/A,#N/A,FALSE,"대손상각등명세"}</definedName>
    <definedName name="ㅏ앙" hidden="1">{#N/A,#N/A,FALSE,"1호 과표세액";#N/A,#N/A,FALSE,"2호 서식";#N/A,#N/A,FALSE,"3(1)부7 기업합리";#N/A,#N/A,FALSE,"6호 소득금액";#N/A,#N/A,FALSE,"6호 첨부(익)";#N/A,#N/A,FALSE,"6호 첨부(손)";#N/A,#N/A,FALSE,"6-1호 수입금액";#N/A,#N/A,FALSE,"6-3(4)호 대손";#N/A,#N/A,FALSE,"6-3호 퇴충";#N/A,#N/A,FALSE,"6-3(3)호 단퇴";#N/A,#N/A,FALSE,"6-3(4)호 대손";#N/A,#N/A,FALSE,"6-4호 접대(갑)";#N/A,#N/A,FALSE,"6-4호 접대(을)";#N/A,#N/A,FALSE,"6-5호 외화(갑)";#N/A,#N/A,FALSE,"6-5호 외화(을)";#N/A,#N/A,FALSE,"6-11호 세금과공과";#N/A,#N/A,FALSE,"6-13호 기부금";#N/A,#N/A,FALSE,"8호 기부금조정";#N/A,#N/A,FALSE,"9호 자본금(갑)";#N/A,#N/A,FALSE,"9호 자본금(을)";#N/A,#N/A,FALSE,"10(3)호 주요계정";#N/A,#N/A,FALSE,"10(3)호 부표";#N/A,#N/A,FALSE,"요약 PL";#N/A,#N/A,FALSE,"10(4)호 조정수입";#N/A,#N/A,FALSE,"14(1)호 갑 주식"}</definedName>
    <definedName name="ㅐㅐㅐ" hidden="1">{#N/A,#N/A,FALSE,"지침";#N/A,#N/A,FALSE,"환경분석";#N/A,#N/A,FALSE,"Sheet16"}</definedName>
    <definedName name="ㅑ7">#REF!</definedName>
    <definedName name="ㅠㅠㅠ" hidden="1">{#N/A,#N/A,FALSE,"지침";#N/A,#N/A,FALSE,"환경분석";#N/A,#N/A,FALSE,"Sheet16"}</definedName>
    <definedName name="ㅡㅡㅡ" hidden="1">{#N/A,#N/A,FALSE,"지침";#N/A,#N/A,FALSE,"환경분석";#N/A,#N/A,FALSE,"Sheet16"}</definedName>
  </definedNames>
  <calcPr calcId="162913"/>
</workbook>
</file>

<file path=xl/calcChain.xml><?xml version="1.0" encoding="utf-8"?>
<calcChain xmlns="http://schemas.openxmlformats.org/spreadsheetml/2006/main">
  <c r="R83" i="32" l="1"/>
  <c r="J13" i="29" l="1"/>
  <c r="P13" i="29"/>
  <c r="Y17" i="29"/>
  <c r="Y18" i="29"/>
  <c r="Y16" i="29"/>
  <c r="X17" i="29"/>
  <c r="X16" i="29"/>
  <c r="F19" i="29"/>
  <c r="G19" i="29"/>
  <c r="H19" i="29"/>
  <c r="I19" i="29"/>
  <c r="K19" i="29"/>
  <c r="L19" i="29"/>
  <c r="M19" i="29"/>
  <c r="N19" i="29"/>
  <c r="O19" i="29"/>
  <c r="S16" i="29"/>
  <c r="E16" i="29" s="1"/>
  <c r="T16" i="29"/>
  <c r="S17" i="29"/>
  <c r="E17" i="29" s="1"/>
  <c r="S18" i="29"/>
  <c r="U18" i="29" s="1"/>
  <c r="P18" i="29"/>
  <c r="T18" i="29" s="1"/>
  <c r="J18" i="29"/>
  <c r="X18" i="29" s="1"/>
  <c r="P17" i="29"/>
  <c r="T17" i="29" s="1"/>
  <c r="J17" i="29"/>
  <c r="P16" i="29"/>
  <c r="J16" i="29"/>
  <c r="F23" i="29"/>
  <c r="G23" i="29"/>
  <c r="H23" i="29"/>
  <c r="I23" i="29"/>
  <c r="J23" i="29"/>
  <c r="K23" i="29"/>
  <c r="L23" i="29"/>
  <c r="M23" i="29"/>
  <c r="N23" i="29"/>
  <c r="O23" i="29"/>
  <c r="F15" i="29"/>
  <c r="G15" i="29"/>
  <c r="H15" i="29"/>
  <c r="K15" i="29"/>
  <c r="L15" i="29"/>
  <c r="M15" i="29"/>
  <c r="N15" i="29"/>
  <c r="O15" i="29"/>
  <c r="X21" i="29"/>
  <c r="P21" i="29"/>
  <c r="T21" i="29" s="1"/>
  <c r="S21" i="29"/>
  <c r="Y21" i="29" s="1"/>
  <c r="J21" i="29"/>
  <c r="Y22" i="29"/>
  <c r="S22" i="29"/>
  <c r="U22" i="29" s="1"/>
  <c r="J22" i="29"/>
  <c r="X22" i="29" s="1"/>
  <c r="P22" i="29"/>
  <c r="T22" i="29" s="1"/>
  <c r="X20" i="29"/>
  <c r="S20" i="29"/>
  <c r="E20" i="29" s="1"/>
  <c r="J20" i="29"/>
  <c r="P20" i="29"/>
  <c r="T20" i="29" s="1"/>
  <c r="F94" i="40"/>
  <c r="T41" i="4"/>
  <c r="AJ35" i="25"/>
  <c r="P23" i="29" l="1"/>
  <c r="P19" i="29"/>
  <c r="U17" i="29"/>
  <c r="J19" i="29"/>
  <c r="U16" i="29"/>
  <c r="E18" i="29"/>
  <c r="E19" i="29"/>
  <c r="U21" i="29"/>
  <c r="E21" i="29"/>
  <c r="E23" i="29" s="1"/>
  <c r="E22" i="29"/>
  <c r="U20" i="29"/>
  <c r="Y20" i="29"/>
  <c r="I6" i="26" l="1"/>
  <c r="G6" i="26"/>
  <c r="L36" i="17"/>
  <c r="D36" i="17"/>
  <c r="H36" i="17"/>
  <c r="I24" i="17"/>
  <c r="I14" i="17"/>
  <c r="F5" i="17" s="1"/>
  <c r="H27" i="17" l="1"/>
  <c r="F17" i="17" s="1"/>
  <c r="J22" i="27"/>
  <c r="G22" i="27"/>
  <c r="E22" i="27"/>
  <c r="I153" i="35" l="1"/>
  <c r="I154" i="35"/>
  <c r="I139" i="35"/>
  <c r="I140" i="35"/>
  <c r="I141" i="35"/>
  <c r="I142" i="35"/>
  <c r="I138" i="35"/>
  <c r="I97" i="35"/>
  <c r="I98" i="35" s="1"/>
  <c r="I83" i="35"/>
  <c r="I84" i="35"/>
  <c r="I85" i="35"/>
  <c r="I86" i="35"/>
  <c r="I39" i="35" l="1"/>
  <c r="I40" i="35" s="1"/>
  <c r="I41" i="35" s="1"/>
  <c r="I26" i="35"/>
  <c r="I27" i="35"/>
  <c r="I28" i="35"/>
  <c r="I29" i="35" s="1"/>
  <c r="W117" i="32"/>
  <c r="L71" i="32" s="1"/>
  <c r="W116" i="32"/>
  <c r="L70" i="32" s="1"/>
  <c r="W115" i="32"/>
  <c r="L69" i="32" s="1"/>
  <c r="P101" i="19"/>
  <c r="Q101" i="19"/>
  <c r="Q93" i="19"/>
  <c r="Q56" i="19"/>
  <c r="H82" i="32"/>
  <c r="H81" i="32"/>
  <c r="H80" i="32"/>
  <c r="H79" i="32"/>
  <c r="H63" i="32"/>
  <c r="H64" i="32"/>
  <c r="H65" i="32"/>
  <c r="H66" i="32"/>
  <c r="H67" i="32"/>
  <c r="H70" i="32"/>
  <c r="H71" i="32"/>
  <c r="H72" i="32"/>
  <c r="H73" i="32"/>
  <c r="H74" i="32"/>
  <c r="H62" i="32"/>
  <c r="H61" i="32"/>
  <c r="H60" i="32"/>
  <c r="H58" i="32"/>
  <c r="H57" i="32"/>
  <c r="H56" i="32"/>
  <c r="H55" i="32"/>
  <c r="H53" i="32"/>
  <c r="H52" i="32"/>
  <c r="H51" i="32"/>
  <c r="L64" i="32"/>
  <c r="L67" i="32"/>
  <c r="L72" i="32"/>
  <c r="L58" i="32"/>
  <c r="D82" i="32"/>
  <c r="D81" i="32"/>
  <c r="D80" i="32"/>
  <c r="D79" i="32"/>
  <c r="D56" i="32" l="1"/>
  <c r="D57" i="32"/>
  <c r="D58" i="32"/>
  <c r="D59" i="32"/>
  <c r="D60" i="32"/>
  <c r="D61" i="32"/>
  <c r="D62" i="32"/>
  <c r="D63" i="32"/>
  <c r="D64" i="32"/>
  <c r="D65" i="32"/>
  <c r="D66" i="32"/>
  <c r="D67" i="32"/>
  <c r="D69" i="32"/>
  <c r="D70" i="32"/>
  <c r="D71" i="32"/>
  <c r="D72" i="32"/>
  <c r="D73" i="32"/>
  <c r="D74" i="32"/>
  <c r="E58" i="32"/>
  <c r="E64" i="32"/>
  <c r="E67" i="32"/>
  <c r="E69" i="32"/>
  <c r="E70" i="32"/>
  <c r="E71" i="32"/>
  <c r="E72" i="32"/>
  <c r="E74" i="32"/>
  <c r="D55" i="32"/>
  <c r="D52" i="32"/>
  <c r="D53" i="32"/>
  <c r="D51" i="32"/>
  <c r="P93" i="19"/>
  <c r="P56" i="19"/>
  <c r="P60" i="19" l="1"/>
  <c r="P48" i="19"/>
  <c r="P100" i="19"/>
  <c r="P98" i="19"/>
  <c r="P96" i="19"/>
  <c r="P92" i="19"/>
  <c r="P88" i="19"/>
  <c r="P77" i="19"/>
  <c r="P75" i="19"/>
  <c r="P73" i="19"/>
  <c r="P62" i="19"/>
  <c r="P46" i="19"/>
  <c r="O100" i="19"/>
  <c r="N100" i="19"/>
  <c r="M100" i="19"/>
  <c r="L100" i="19"/>
  <c r="K100" i="19"/>
  <c r="J100" i="19"/>
  <c r="I100" i="19"/>
  <c r="H100" i="19"/>
  <c r="G100" i="19"/>
  <c r="F100" i="19"/>
  <c r="E100" i="19"/>
  <c r="D100" i="19"/>
  <c r="O98" i="19"/>
  <c r="N98" i="19"/>
  <c r="M98" i="19"/>
  <c r="L98" i="19"/>
  <c r="K98" i="19"/>
  <c r="J98" i="19"/>
  <c r="I98" i="19"/>
  <c r="H98" i="19"/>
  <c r="G98" i="19"/>
  <c r="F98" i="19"/>
  <c r="E98" i="19"/>
  <c r="D98" i="19"/>
  <c r="O96" i="19"/>
  <c r="N96" i="19"/>
  <c r="M96" i="19"/>
  <c r="L96" i="19"/>
  <c r="K96" i="19"/>
  <c r="J96" i="19"/>
  <c r="I96" i="19"/>
  <c r="H96" i="19"/>
  <c r="G96" i="19"/>
  <c r="F96" i="19"/>
  <c r="E96" i="19"/>
  <c r="D96" i="19"/>
  <c r="O92" i="19"/>
  <c r="N92" i="19"/>
  <c r="M92" i="19"/>
  <c r="L92" i="19"/>
  <c r="K92" i="19"/>
  <c r="J92" i="19"/>
  <c r="I92" i="19"/>
  <c r="H92" i="19"/>
  <c r="G92" i="19"/>
  <c r="F92" i="19"/>
  <c r="E92" i="19"/>
  <c r="D92" i="19"/>
  <c r="O88" i="19"/>
  <c r="N88" i="19"/>
  <c r="M88" i="19"/>
  <c r="L88" i="19"/>
  <c r="K88" i="19"/>
  <c r="J88" i="19"/>
  <c r="I88" i="19"/>
  <c r="H88" i="19"/>
  <c r="G88" i="19"/>
  <c r="F88" i="19"/>
  <c r="E88" i="19"/>
  <c r="D88" i="19"/>
  <c r="O77" i="19"/>
  <c r="N77" i="19"/>
  <c r="M77" i="19"/>
  <c r="L77" i="19"/>
  <c r="K77" i="19"/>
  <c r="J77" i="19"/>
  <c r="I77" i="19"/>
  <c r="H77" i="19"/>
  <c r="G77" i="19"/>
  <c r="F77" i="19"/>
  <c r="E77" i="19"/>
  <c r="D77" i="19"/>
  <c r="O75" i="19"/>
  <c r="N75" i="19"/>
  <c r="M75" i="19"/>
  <c r="L75" i="19"/>
  <c r="K75" i="19"/>
  <c r="J75" i="19"/>
  <c r="I75" i="19"/>
  <c r="H75" i="19"/>
  <c r="G75" i="19"/>
  <c r="F75" i="19"/>
  <c r="E75" i="19"/>
  <c r="D75" i="19"/>
  <c r="O73" i="19"/>
  <c r="N73" i="19"/>
  <c r="M73" i="19"/>
  <c r="L73" i="19"/>
  <c r="K73" i="19"/>
  <c r="J73" i="19"/>
  <c r="I73" i="19"/>
  <c r="H73" i="19"/>
  <c r="G73" i="19"/>
  <c r="F73" i="19"/>
  <c r="E73" i="19"/>
  <c r="D73" i="19"/>
  <c r="O62" i="19"/>
  <c r="N62" i="19"/>
  <c r="M62" i="19"/>
  <c r="L62" i="19"/>
  <c r="L93" i="19" s="1"/>
  <c r="K62" i="19"/>
  <c r="K93" i="19" s="1"/>
  <c r="K101" i="19" s="1"/>
  <c r="J62" i="19"/>
  <c r="I62" i="19"/>
  <c r="H62" i="19"/>
  <c r="G62" i="19"/>
  <c r="F62" i="19"/>
  <c r="E62" i="19"/>
  <c r="D62" i="19"/>
  <c r="O60" i="19"/>
  <c r="O93" i="19" s="1"/>
  <c r="N60" i="19"/>
  <c r="N93" i="19" s="1"/>
  <c r="M60" i="19"/>
  <c r="M93" i="19" s="1"/>
  <c r="L60" i="19"/>
  <c r="K60" i="19"/>
  <c r="J60" i="19"/>
  <c r="J93" i="19" s="1"/>
  <c r="I60" i="19"/>
  <c r="I93" i="19" s="1"/>
  <c r="H60" i="19"/>
  <c r="H93" i="19" s="1"/>
  <c r="G60" i="19"/>
  <c r="G93" i="19" s="1"/>
  <c r="F60" i="19"/>
  <c r="F93" i="19" s="1"/>
  <c r="E60" i="19"/>
  <c r="E93" i="19" s="1"/>
  <c r="D60" i="19"/>
  <c r="D93" i="19" s="1"/>
  <c r="O56" i="19"/>
  <c r="N56" i="19"/>
  <c r="M56" i="19"/>
  <c r="O48" i="19"/>
  <c r="N48" i="19"/>
  <c r="M48" i="19"/>
  <c r="L48" i="19"/>
  <c r="L101" i="19" s="1"/>
  <c r="K48" i="19"/>
  <c r="J48" i="19"/>
  <c r="I48" i="19"/>
  <c r="H48" i="19"/>
  <c r="G48" i="19"/>
  <c r="F48" i="19"/>
  <c r="E48" i="19"/>
  <c r="D48" i="19"/>
  <c r="O46" i="19"/>
  <c r="N46" i="19"/>
  <c r="M46" i="19"/>
  <c r="L46" i="19"/>
  <c r="K46" i="19"/>
  <c r="J46" i="19"/>
  <c r="J101" i="19" s="1"/>
  <c r="I46" i="19"/>
  <c r="H46" i="19"/>
  <c r="H101" i="19" s="1"/>
  <c r="G46" i="19"/>
  <c r="G101" i="19" s="1"/>
  <c r="F46" i="19"/>
  <c r="E46" i="19"/>
  <c r="D46" i="19"/>
  <c r="M101" i="19" l="1"/>
  <c r="N101" i="19"/>
  <c r="O101" i="19"/>
  <c r="D101" i="19"/>
  <c r="F101" i="19"/>
  <c r="E101" i="19"/>
  <c r="I101" i="19"/>
  <c r="F7" i="19" l="1"/>
  <c r="F6" i="19"/>
  <c r="O41" i="19"/>
  <c r="N41" i="19"/>
  <c r="M41" i="19"/>
  <c r="L41" i="19"/>
  <c r="K41" i="19"/>
  <c r="J41" i="19"/>
  <c r="I41" i="19"/>
  <c r="H41" i="19"/>
  <c r="G41" i="19"/>
  <c r="F41" i="19"/>
  <c r="E41" i="19"/>
  <c r="D41" i="19"/>
  <c r="Q46" i="19"/>
  <c r="Q48" i="19"/>
  <c r="Q60" i="19"/>
  <c r="Q62" i="19"/>
  <c r="Q73" i="19"/>
  <c r="Q75" i="19"/>
  <c r="Q77" i="19"/>
  <c r="Q88" i="19"/>
  <c r="Q92" i="19"/>
  <c r="Q96" i="19"/>
  <c r="Q98" i="19"/>
  <c r="Q100" i="19"/>
  <c r="V94" i="32"/>
  <c r="W128" i="32" l="1"/>
  <c r="W127" i="32"/>
  <c r="W126" i="32"/>
  <c r="W125" i="32"/>
  <c r="W123" i="32"/>
  <c r="W119" i="32"/>
  <c r="W114" i="32"/>
  <c r="W112" i="32"/>
  <c r="W111" i="32"/>
  <c r="W109" i="32"/>
  <c r="W108" i="32"/>
  <c r="W107" i="32"/>
  <c r="W106" i="32"/>
  <c r="W105" i="32"/>
  <c r="W102" i="32"/>
  <c r="W103" i="32"/>
  <c r="W101" i="32"/>
  <c r="W92" i="32"/>
  <c r="W93" i="32"/>
  <c r="W91" i="32"/>
  <c r="W121" i="32"/>
  <c r="V121" i="32"/>
  <c r="D75" i="32" s="1"/>
  <c r="V114" i="32"/>
  <c r="V95" i="32"/>
  <c r="L62" i="32" l="1"/>
  <c r="E62" i="32"/>
  <c r="L60" i="32"/>
  <c r="E60" i="32"/>
  <c r="L73" i="32"/>
  <c r="E73" i="32"/>
  <c r="L63" i="32"/>
  <c r="E63" i="32"/>
  <c r="L79" i="32"/>
  <c r="E79" i="32"/>
  <c r="L59" i="32"/>
  <c r="E59" i="32"/>
  <c r="L68" i="32"/>
  <c r="E68" i="32"/>
  <c r="L80" i="32"/>
  <c r="E80" i="32"/>
  <c r="L56" i="32"/>
  <c r="E56" i="32"/>
  <c r="L65" i="32"/>
  <c r="E65" i="32"/>
  <c r="L51" i="32"/>
  <c r="E51" i="32"/>
  <c r="L52" i="32"/>
  <c r="E52" i="32"/>
  <c r="L81" i="32"/>
  <c r="E81" i="32"/>
  <c r="L57" i="32"/>
  <c r="E57" i="32"/>
  <c r="L61" i="32"/>
  <c r="E61" i="32"/>
  <c r="L66" i="32"/>
  <c r="E66" i="32"/>
  <c r="L75" i="32"/>
  <c r="E75" i="32"/>
  <c r="L53" i="32"/>
  <c r="E53" i="32"/>
  <c r="L55" i="32"/>
  <c r="E55" i="32"/>
  <c r="L82" i="32"/>
  <c r="E82" i="32"/>
  <c r="V100" i="32"/>
  <c r="V124" i="32" s="1"/>
  <c r="V129" i="32" s="1"/>
  <c r="D68" i="32"/>
  <c r="W94" i="32"/>
  <c r="W100" i="32"/>
  <c r="W124" i="32" s="1"/>
  <c r="W129" i="32" s="1"/>
  <c r="W95" i="32"/>
  <c r="BO87" i="38" s="1"/>
  <c r="F73" i="38"/>
  <c r="L70" i="38"/>
  <c r="F69" i="38"/>
  <c r="F68" i="38"/>
  <c r="F67" i="38"/>
  <c r="F66" i="38"/>
  <c r="F65" i="38"/>
  <c r="F64" i="38"/>
  <c r="F63" i="38"/>
  <c r="F62" i="38"/>
  <c r="F61" i="38"/>
  <c r="F60" i="38"/>
  <c r="F59" i="38"/>
  <c r="F58" i="38"/>
  <c r="F57" i="38"/>
  <c r="F56" i="38"/>
  <c r="F55" i="38"/>
  <c r="F54" i="38"/>
  <c r="F53" i="38"/>
  <c r="F52" i="38"/>
  <c r="F51" i="38"/>
  <c r="F50" i="38"/>
  <c r="F49" i="38"/>
  <c r="F48" i="38"/>
  <c r="F47" i="38"/>
  <c r="F46" i="38"/>
  <c r="F45" i="38"/>
  <c r="F44" i="38"/>
  <c r="BK43" i="38"/>
  <c r="BL43" i="38" s="1"/>
  <c r="F43" i="38"/>
  <c r="BK42" i="38"/>
  <c r="BL42" i="38" s="1"/>
  <c r="BL70" i="38" s="1"/>
  <c r="F42" i="38"/>
  <c r="F41" i="38"/>
  <c r="F40" i="38"/>
  <c r="BK39" i="38"/>
  <c r="BM39" i="38" s="1"/>
  <c r="F39" i="38"/>
  <c r="F38" i="38"/>
  <c r="F37" i="38"/>
  <c r="F36" i="38"/>
  <c r="F35" i="38"/>
  <c r="F34" i="38"/>
  <c r="F33" i="38"/>
  <c r="F32" i="38"/>
  <c r="F31" i="38"/>
  <c r="F30" i="38"/>
  <c r="F29" i="38"/>
  <c r="F28" i="38"/>
  <c r="F27" i="38"/>
  <c r="BK26" i="38"/>
  <c r="BM26" i="38" s="1"/>
  <c r="F26" i="38"/>
  <c r="BK25" i="38"/>
  <c r="F25" i="38"/>
  <c r="F24" i="38"/>
  <c r="F23" i="38"/>
  <c r="F22" i="38"/>
  <c r="F21" i="38"/>
  <c r="F20" i="38"/>
  <c r="F19" i="38"/>
  <c r="F18" i="38"/>
  <c r="BK17" i="38"/>
  <c r="BM17" i="38" s="1"/>
  <c r="F17" i="38"/>
  <c r="F16" i="38"/>
  <c r="F15" i="38"/>
  <c r="F14" i="38"/>
  <c r="F13" i="38"/>
  <c r="F12" i="38"/>
  <c r="BK11" i="38"/>
  <c r="BM11" i="38" s="1"/>
  <c r="F11" i="38"/>
  <c r="F10" i="38"/>
  <c r="F9" i="38"/>
  <c r="BK8" i="38"/>
  <c r="BM8" i="38" s="1"/>
  <c r="F8" i="38"/>
  <c r="L50" i="32" l="1"/>
  <c r="F72" i="38"/>
  <c r="F74" i="38" s="1"/>
  <c r="F78" i="38" s="1"/>
  <c r="E89" i="40"/>
  <c r="F89" i="40"/>
  <c r="G89" i="40"/>
  <c r="G88" i="40"/>
  <c r="V10" i="32"/>
  <c r="V11" i="32"/>
  <c r="X94" i="32"/>
  <c r="X95" i="32" s="1"/>
  <c r="X105" i="32"/>
  <c r="H59" i="32" s="1"/>
  <c r="X115" i="32"/>
  <c r="X121" i="32"/>
  <c r="X114" i="32" l="1"/>
  <c r="X100" i="32"/>
  <c r="X124" i="32" s="1"/>
  <c r="X129" i="32" s="1"/>
  <c r="Y94" i="32"/>
  <c r="Y95" i="32" s="1"/>
  <c r="CH38" i="34" l="1"/>
  <c r="CA38" i="34"/>
  <c r="E33" i="34"/>
  <c r="E32" i="34" s="1"/>
  <c r="E29" i="34" s="1"/>
  <c r="E28" i="34" s="1"/>
  <c r="E27" i="34" s="1"/>
  <c r="E26" i="34" s="1"/>
  <c r="E25" i="34" s="1"/>
  <c r="E24" i="34" s="1"/>
  <c r="E23" i="34" s="1"/>
  <c r="D19" i="34" s="1"/>
  <c r="E19" i="34" s="1"/>
  <c r="E21" i="34" s="1"/>
  <c r="E20" i="34" s="1"/>
  <c r="E18" i="34" s="1"/>
  <c r="E17" i="34" s="1"/>
  <c r="E16" i="34" s="1"/>
  <c r="E15" i="34" s="1"/>
  <c r="D13" i="34" s="1"/>
  <c r="E11" i="34" s="1"/>
  <c r="E10" i="34" s="1"/>
  <c r="E9" i="34" s="1"/>
  <c r="D7" i="34" s="1"/>
  <c r="E73" i="30"/>
  <c r="D67" i="30" s="1"/>
  <c r="D65" i="30" s="1"/>
  <c r="D63" i="30" s="1"/>
  <c r="D59" i="30" s="1"/>
  <c r="D55" i="30" s="1"/>
  <c r="D71" i="30" s="1"/>
  <c r="D50" i="30" s="1"/>
  <c r="D35" i="30" s="1"/>
  <c r="D33" i="30" s="1"/>
  <c r="D53" i="30" s="1"/>
  <c r="D72" i="30" s="1"/>
  <c r="D28" i="30" s="1"/>
  <c r="D23" i="30" s="1"/>
  <c r="D21" i="30" s="1"/>
  <c r="D10" i="30" s="1"/>
  <c r="D9" i="30" s="1"/>
  <c r="E13" i="34" l="1"/>
  <c r="D12" i="34"/>
  <c r="E12" i="34" s="1"/>
  <c r="E7" i="34"/>
  <c r="D30" i="34"/>
  <c r="E22" i="34"/>
  <c r="D31" i="34"/>
  <c r="E31" i="34" s="1"/>
  <c r="E8" i="34"/>
  <c r="D34" i="34"/>
  <c r="E34" i="34" s="1"/>
  <c r="E14" i="34"/>
  <c r="D20" i="30"/>
  <c r="D31" i="30" s="1"/>
  <c r="D37" i="34" l="1"/>
  <c r="E30" i="34"/>
  <c r="D76" i="30"/>
  <c r="D73" i="30"/>
  <c r="E37" i="34" l="1"/>
  <c r="D38" i="34"/>
  <c r="E36" i="34" s="1"/>
  <c r="E35" i="34" s="1"/>
  <c r="D137" i="28"/>
  <c r="D8" i="28" l="1"/>
  <c r="I22" i="28"/>
  <c r="I23" i="28"/>
  <c r="I24" i="28"/>
  <c r="I25" i="28"/>
  <c r="I26" i="28"/>
  <c r="I27" i="28"/>
  <c r="I28" i="28"/>
  <c r="F22" i="28"/>
  <c r="F23" i="28"/>
  <c r="F24" i="28"/>
  <c r="F25" i="28"/>
  <c r="F26" i="28"/>
  <c r="F27" i="28"/>
  <c r="F28" i="28"/>
  <c r="I23" i="27" l="1"/>
  <c r="I24" i="27"/>
  <c r="I22" i="27"/>
  <c r="K96" i="26" l="1"/>
  <c r="I96" i="26"/>
  <c r="G96" i="26"/>
  <c r="E96" i="26"/>
  <c r="E97" i="26" s="1"/>
  <c r="O94" i="26"/>
  <c r="M94" i="26"/>
  <c r="L94" i="26"/>
  <c r="J94" i="26"/>
  <c r="H94" i="26"/>
  <c r="P94" i="26" s="1"/>
  <c r="F94" i="26"/>
  <c r="N94" i="26" s="1"/>
  <c r="O92" i="26"/>
  <c r="M92" i="26"/>
  <c r="L92" i="26"/>
  <c r="J92" i="26"/>
  <c r="H92" i="26"/>
  <c r="F92" i="26"/>
  <c r="N92" i="26" s="1"/>
  <c r="O90" i="26"/>
  <c r="M90" i="26"/>
  <c r="L90" i="26"/>
  <c r="J90" i="26"/>
  <c r="H90" i="26"/>
  <c r="P90" i="26" s="1"/>
  <c r="F90" i="26"/>
  <c r="N90" i="26" s="1"/>
  <c r="O88" i="26"/>
  <c r="M88" i="26"/>
  <c r="L88" i="26"/>
  <c r="J88" i="26"/>
  <c r="N88" i="26" s="1"/>
  <c r="H88" i="26"/>
  <c r="P88" i="26" s="1"/>
  <c r="F88" i="26"/>
  <c r="O86" i="26"/>
  <c r="M86" i="26"/>
  <c r="L86" i="26"/>
  <c r="J86" i="26"/>
  <c r="H86" i="26"/>
  <c r="P86" i="26" s="1"/>
  <c r="F86" i="26"/>
  <c r="N86" i="26" s="1"/>
  <c r="O84" i="26"/>
  <c r="M84" i="26"/>
  <c r="L84" i="26"/>
  <c r="J84" i="26"/>
  <c r="H84" i="26"/>
  <c r="P84" i="26" s="1"/>
  <c r="F84" i="26"/>
  <c r="N84" i="26" s="1"/>
  <c r="P82" i="26"/>
  <c r="O82" i="26"/>
  <c r="M82" i="26"/>
  <c r="L82" i="26"/>
  <c r="J82" i="26"/>
  <c r="H82" i="26"/>
  <c r="F82" i="26"/>
  <c r="N82" i="26" s="1"/>
  <c r="O80" i="26"/>
  <c r="M80" i="26"/>
  <c r="L80" i="26"/>
  <c r="J80" i="26"/>
  <c r="H80" i="26"/>
  <c r="P80" i="26" s="1"/>
  <c r="F80" i="26"/>
  <c r="N80" i="26" s="1"/>
  <c r="O78" i="26"/>
  <c r="M78" i="26"/>
  <c r="L78" i="26"/>
  <c r="J78" i="26"/>
  <c r="H78" i="26"/>
  <c r="P78" i="26" s="1"/>
  <c r="F78" i="26"/>
  <c r="N78" i="26" s="1"/>
  <c r="O76" i="26"/>
  <c r="M76" i="26"/>
  <c r="L76" i="26"/>
  <c r="J76" i="26"/>
  <c r="H76" i="26"/>
  <c r="P76" i="26" s="1"/>
  <c r="F76" i="26"/>
  <c r="N76" i="26" s="1"/>
  <c r="O74" i="26"/>
  <c r="M74" i="26"/>
  <c r="L74" i="26"/>
  <c r="J74" i="26"/>
  <c r="H74" i="26"/>
  <c r="P74" i="26" s="1"/>
  <c r="F74" i="26"/>
  <c r="O72" i="26"/>
  <c r="M72" i="26"/>
  <c r="L72" i="26"/>
  <c r="J72" i="26"/>
  <c r="H72" i="26"/>
  <c r="F72" i="26"/>
  <c r="O70" i="26"/>
  <c r="M70" i="26"/>
  <c r="L70" i="26"/>
  <c r="J70" i="26"/>
  <c r="H70" i="26"/>
  <c r="P70" i="26" s="1"/>
  <c r="F70" i="26"/>
  <c r="N70" i="26" s="1"/>
  <c r="O68" i="26"/>
  <c r="M68" i="26"/>
  <c r="L68" i="26"/>
  <c r="J68" i="26"/>
  <c r="H68" i="26"/>
  <c r="P68" i="26" s="1"/>
  <c r="F68" i="26"/>
  <c r="N68" i="26" s="1"/>
  <c r="O66" i="26"/>
  <c r="M66" i="26"/>
  <c r="L66" i="26"/>
  <c r="J66" i="26"/>
  <c r="H66" i="26"/>
  <c r="P66" i="26" s="1"/>
  <c r="F66" i="26"/>
  <c r="N66" i="26" s="1"/>
  <c r="O64" i="26"/>
  <c r="M64" i="26"/>
  <c r="L64" i="26"/>
  <c r="J64" i="26"/>
  <c r="H64" i="26"/>
  <c r="P64" i="26" s="1"/>
  <c r="F64" i="26"/>
  <c r="N64" i="26" s="1"/>
  <c r="O62" i="26"/>
  <c r="M62" i="26"/>
  <c r="L62" i="26"/>
  <c r="J62" i="26"/>
  <c r="H62" i="26"/>
  <c r="F62" i="26"/>
  <c r="O60" i="26"/>
  <c r="M60" i="26"/>
  <c r="L60" i="26"/>
  <c r="J60" i="26"/>
  <c r="H60" i="26"/>
  <c r="P60" i="26" s="1"/>
  <c r="F60" i="26"/>
  <c r="N60" i="26" s="1"/>
  <c r="O58" i="26"/>
  <c r="M58" i="26"/>
  <c r="L58" i="26"/>
  <c r="J58" i="26"/>
  <c r="H58" i="26"/>
  <c r="F58" i="26"/>
  <c r="F96" i="26" s="1"/>
  <c r="K57" i="26"/>
  <c r="I57" i="26"/>
  <c r="G57" i="26"/>
  <c r="E57" i="26"/>
  <c r="O55" i="26"/>
  <c r="M55" i="26"/>
  <c r="L55" i="26"/>
  <c r="J55" i="26"/>
  <c r="H55" i="26"/>
  <c r="F55" i="26"/>
  <c r="O53" i="26"/>
  <c r="M53" i="26"/>
  <c r="L53" i="26"/>
  <c r="J53" i="26"/>
  <c r="H53" i="26"/>
  <c r="P53" i="26" s="1"/>
  <c r="F53" i="26"/>
  <c r="N53" i="26" s="1"/>
  <c r="O51" i="26"/>
  <c r="M51" i="26"/>
  <c r="L51" i="26"/>
  <c r="J51" i="26"/>
  <c r="H51" i="26"/>
  <c r="P51" i="26" s="1"/>
  <c r="F51" i="26"/>
  <c r="N51" i="26" s="1"/>
  <c r="O49" i="26"/>
  <c r="M49" i="26"/>
  <c r="L49" i="26"/>
  <c r="J49" i="26"/>
  <c r="H49" i="26"/>
  <c r="P49" i="26" s="1"/>
  <c r="F49" i="26"/>
  <c r="N49" i="26" s="1"/>
  <c r="O47" i="26"/>
  <c r="M47" i="26"/>
  <c r="L47" i="26"/>
  <c r="J47" i="26"/>
  <c r="H47" i="26"/>
  <c r="P47" i="26" s="1"/>
  <c r="F47" i="26"/>
  <c r="N47" i="26" s="1"/>
  <c r="O45" i="26"/>
  <c r="M45" i="26"/>
  <c r="L45" i="26"/>
  <c r="J45" i="26"/>
  <c r="H45" i="26"/>
  <c r="P45" i="26" s="1"/>
  <c r="F45" i="26"/>
  <c r="N45" i="26" s="1"/>
  <c r="O43" i="26"/>
  <c r="M43" i="26"/>
  <c r="L43" i="26"/>
  <c r="J43" i="26"/>
  <c r="N43" i="26" s="1"/>
  <c r="H43" i="26"/>
  <c r="H57" i="26" s="1"/>
  <c r="F43" i="26"/>
  <c r="O41" i="26"/>
  <c r="M41" i="26"/>
  <c r="L41" i="26"/>
  <c r="J41" i="26"/>
  <c r="H41" i="26"/>
  <c r="P41" i="26" s="1"/>
  <c r="F41" i="26"/>
  <c r="N41" i="26" s="1"/>
  <c r="O39" i="26"/>
  <c r="M39" i="26"/>
  <c r="L39" i="26"/>
  <c r="J39" i="26"/>
  <c r="H39" i="26"/>
  <c r="P39" i="26" s="1"/>
  <c r="F39" i="26"/>
  <c r="N39" i="26" s="1"/>
  <c r="P37" i="26"/>
  <c r="O37" i="26"/>
  <c r="M37" i="26"/>
  <c r="L37" i="26"/>
  <c r="J37" i="26"/>
  <c r="H37" i="26"/>
  <c r="F37" i="26"/>
  <c r="N37" i="26" s="1"/>
  <c r="K36" i="26"/>
  <c r="I36" i="26"/>
  <c r="I97" i="26" s="1"/>
  <c r="G36" i="26"/>
  <c r="E36" i="26"/>
  <c r="O34" i="26"/>
  <c r="M34" i="26"/>
  <c r="L34" i="26"/>
  <c r="J34" i="26"/>
  <c r="H34" i="26"/>
  <c r="P34" i="26" s="1"/>
  <c r="F34" i="26"/>
  <c r="N34" i="26" s="1"/>
  <c r="O32" i="26"/>
  <c r="M32" i="26"/>
  <c r="L32" i="26"/>
  <c r="J32" i="26"/>
  <c r="H32" i="26"/>
  <c r="F32" i="26"/>
  <c r="N32" i="26" s="1"/>
  <c r="O30" i="26"/>
  <c r="M30" i="26"/>
  <c r="L30" i="26"/>
  <c r="J30" i="26"/>
  <c r="H30" i="26"/>
  <c r="P30" i="26" s="1"/>
  <c r="F30" i="26"/>
  <c r="N30" i="26" s="1"/>
  <c r="O28" i="26"/>
  <c r="M28" i="26"/>
  <c r="L28" i="26"/>
  <c r="J28" i="26"/>
  <c r="H28" i="26"/>
  <c r="F28" i="26"/>
  <c r="O26" i="26"/>
  <c r="M26" i="26"/>
  <c r="L26" i="26"/>
  <c r="J26" i="26"/>
  <c r="H26" i="26"/>
  <c r="F26" i="26"/>
  <c r="N26" i="26" s="1"/>
  <c r="O24" i="26"/>
  <c r="M24" i="26"/>
  <c r="L24" i="26"/>
  <c r="J24" i="26"/>
  <c r="N24" i="26" s="1"/>
  <c r="H24" i="26"/>
  <c r="P24" i="26" s="1"/>
  <c r="F24" i="26"/>
  <c r="O22" i="26"/>
  <c r="M22" i="26"/>
  <c r="L22" i="26"/>
  <c r="J22" i="26"/>
  <c r="H22" i="26"/>
  <c r="P22" i="26" s="1"/>
  <c r="F22" i="26"/>
  <c r="N22" i="26" s="1"/>
  <c r="O20" i="26"/>
  <c r="M20" i="26"/>
  <c r="L20" i="26"/>
  <c r="J20" i="26"/>
  <c r="H20" i="26"/>
  <c r="P20" i="26" s="1"/>
  <c r="F20" i="26"/>
  <c r="N20" i="26" s="1"/>
  <c r="O18" i="26"/>
  <c r="M18" i="26"/>
  <c r="L18" i="26"/>
  <c r="J18" i="26"/>
  <c r="H18" i="26"/>
  <c r="F18" i="26"/>
  <c r="O16" i="26"/>
  <c r="M16" i="26"/>
  <c r="L16" i="26"/>
  <c r="J16" i="26"/>
  <c r="H16" i="26"/>
  <c r="P16" i="26" s="1"/>
  <c r="F16" i="26"/>
  <c r="O14" i="26"/>
  <c r="N14" i="26"/>
  <c r="M14" i="26"/>
  <c r="L14" i="26"/>
  <c r="P14" i="26" s="1"/>
  <c r="J14" i="26"/>
  <c r="H14" i="26"/>
  <c r="F14" i="26"/>
  <c r="O12" i="26"/>
  <c r="M12" i="26"/>
  <c r="L12" i="26"/>
  <c r="J12" i="26"/>
  <c r="H12" i="26"/>
  <c r="F12" i="26"/>
  <c r="Q204" i="25"/>
  <c r="Q203" i="25"/>
  <c r="T203" i="25" s="1"/>
  <c r="U203" i="25" s="1"/>
  <c r="P203" i="25"/>
  <c r="P204" i="25" s="1"/>
  <c r="S204" i="25" s="1"/>
  <c r="O203" i="25"/>
  <c r="O204" i="25" s="1"/>
  <c r="N196" i="25" s="1"/>
  <c r="N203" i="25"/>
  <c r="N204" i="25" s="1"/>
  <c r="M196" i="25" s="1"/>
  <c r="M197" i="25" s="1"/>
  <c r="T202" i="25"/>
  <c r="S202" i="25"/>
  <c r="L199" i="25"/>
  <c r="K199" i="25"/>
  <c r="K194" i="25"/>
  <c r="O193" i="25" s="1"/>
  <c r="L190" i="25"/>
  <c r="K187" i="25"/>
  <c r="L185" i="25" s="1"/>
  <c r="R186" i="25"/>
  <c r="P186" i="25"/>
  <c r="N186" i="25"/>
  <c r="L186" i="25"/>
  <c r="R185" i="25"/>
  <c r="P185" i="25"/>
  <c r="N185" i="25"/>
  <c r="E185" i="25"/>
  <c r="I183" i="25" s="1"/>
  <c r="R184" i="25"/>
  <c r="P184" i="25"/>
  <c r="N184" i="25"/>
  <c r="L184" i="25"/>
  <c r="G184" i="25"/>
  <c r="F184" i="25"/>
  <c r="R183" i="25"/>
  <c r="P183" i="25"/>
  <c r="N183" i="25"/>
  <c r="G183" i="25"/>
  <c r="G185" i="25" s="1"/>
  <c r="F183" i="25"/>
  <c r="F185" i="25" s="1"/>
  <c r="R182" i="25"/>
  <c r="P182" i="25"/>
  <c r="N182" i="25"/>
  <c r="L182" i="25"/>
  <c r="R181" i="25"/>
  <c r="P181" i="25"/>
  <c r="N181" i="25"/>
  <c r="L181" i="25"/>
  <c r="AT180" i="25"/>
  <c r="R180" i="25"/>
  <c r="P180" i="25"/>
  <c r="L180" i="25"/>
  <c r="H180" i="25"/>
  <c r="G180" i="25"/>
  <c r="R179" i="25"/>
  <c r="P179" i="25"/>
  <c r="N179" i="25"/>
  <c r="L179" i="25"/>
  <c r="R178" i="25"/>
  <c r="P178" i="25"/>
  <c r="N178" i="25"/>
  <c r="L178" i="25"/>
  <c r="R177" i="25"/>
  <c r="R187" i="25" s="1"/>
  <c r="S187" i="25" s="1"/>
  <c r="P177" i="25"/>
  <c r="P187" i="25" s="1"/>
  <c r="Q187" i="25" s="1"/>
  <c r="N177" i="25"/>
  <c r="AQ176" i="25"/>
  <c r="AT175" i="25"/>
  <c r="AT174" i="25"/>
  <c r="AT176" i="25" s="1"/>
  <c r="K174" i="25"/>
  <c r="P173" i="25" s="1"/>
  <c r="BA173" i="25"/>
  <c r="AZ173" i="25"/>
  <c r="R173" i="25"/>
  <c r="BA172" i="25"/>
  <c r="AZ172" i="25"/>
  <c r="L172" i="25"/>
  <c r="I172" i="25"/>
  <c r="H172" i="25"/>
  <c r="H173" i="25" s="1"/>
  <c r="G172" i="25"/>
  <c r="G173" i="25" s="1"/>
  <c r="F172" i="25"/>
  <c r="F173" i="25" s="1"/>
  <c r="E172" i="25"/>
  <c r="I171" i="25"/>
  <c r="H171" i="25"/>
  <c r="G171" i="25"/>
  <c r="F171" i="25"/>
  <c r="AH170" i="25"/>
  <c r="AT169" i="25" s="1"/>
  <c r="R170" i="25"/>
  <c r="P170" i="25"/>
  <c r="N170" i="25"/>
  <c r="L170" i="25"/>
  <c r="I170" i="25"/>
  <c r="H170" i="25"/>
  <c r="G170" i="25"/>
  <c r="F170" i="25"/>
  <c r="I169" i="25"/>
  <c r="H169" i="25"/>
  <c r="G169" i="25"/>
  <c r="F169" i="25"/>
  <c r="AT168" i="25"/>
  <c r="AO168" i="25"/>
  <c r="I168" i="25"/>
  <c r="H168" i="25"/>
  <c r="G168" i="25"/>
  <c r="F168" i="25"/>
  <c r="I167" i="25"/>
  <c r="H167" i="25"/>
  <c r="G167" i="25"/>
  <c r="F167" i="25"/>
  <c r="BB160" i="25"/>
  <c r="AX160" i="25"/>
  <c r="AT160" i="25"/>
  <c r="AQ160" i="25"/>
  <c r="AP160" i="25"/>
  <c r="AO160" i="25"/>
  <c r="AN160" i="25"/>
  <c r="AM160" i="25"/>
  <c r="S160" i="25"/>
  <c r="R160" i="25"/>
  <c r="E160" i="25"/>
  <c r="BB159" i="25"/>
  <c r="AX159" i="25"/>
  <c r="AT159" i="25"/>
  <c r="AQ159" i="25"/>
  <c r="AP159" i="25"/>
  <c r="AO159" i="25"/>
  <c r="AN159" i="25"/>
  <c r="AM159" i="25"/>
  <c r="R159" i="25"/>
  <c r="J159" i="25"/>
  <c r="M159" i="25" s="1"/>
  <c r="I159" i="25"/>
  <c r="H159" i="25"/>
  <c r="E159" i="25"/>
  <c r="BB158" i="25"/>
  <c r="AX158" i="25"/>
  <c r="AT158" i="25"/>
  <c r="AQ158" i="25"/>
  <c r="AP158" i="25"/>
  <c r="AO158" i="25"/>
  <c r="AN158" i="25"/>
  <c r="AM158" i="25"/>
  <c r="R158" i="25"/>
  <c r="J158" i="25"/>
  <c r="K158" i="25" s="1"/>
  <c r="H158" i="25"/>
  <c r="E158" i="25"/>
  <c r="BB157" i="25"/>
  <c r="AX157" i="25"/>
  <c r="AT157" i="25"/>
  <c r="AQ157" i="25"/>
  <c r="AP157" i="25"/>
  <c r="AO157" i="25"/>
  <c r="AN157" i="25"/>
  <c r="AM157" i="25"/>
  <c r="R157" i="25"/>
  <c r="J157" i="25"/>
  <c r="M157" i="25" s="1"/>
  <c r="H157" i="25"/>
  <c r="E157" i="25"/>
  <c r="BB156" i="25"/>
  <c r="AX156" i="25"/>
  <c r="AT156" i="25"/>
  <c r="AQ156" i="25"/>
  <c r="AP156" i="25"/>
  <c r="AO156" i="25"/>
  <c r="AN156" i="25"/>
  <c r="AM156" i="25"/>
  <c r="R156" i="25"/>
  <c r="J156" i="25"/>
  <c r="H156" i="25"/>
  <c r="E156" i="25"/>
  <c r="BB155" i="25"/>
  <c r="AX155" i="25"/>
  <c r="AT155" i="25"/>
  <c r="AQ155" i="25"/>
  <c r="AP155" i="25"/>
  <c r="AO155" i="25"/>
  <c r="AN155" i="25"/>
  <c r="AM155" i="25"/>
  <c r="AJ155" i="25"/>
  <c r="R155" i="25"/>
  <c r="J155" i="25"/>
  <c r="H155" i="25"/>
  <c r="I155" i="25" s="1"/>
  <c r="E155" i="25"/>
  <c r="BB154" i="25"/>
  <c r="AX154" i="25"/>
  <c r="AT154" i="25"/>
  <c r="AQ154" i="25"/>
  <c r="AP154" i="25"/>
  <c r="AO154" i="25"/>
  <c r="AN154" i="25"/>
  <c r="AM154" i="25"/>
  <c r="AL154" i="25"/>
  <c r="R154" i="25"/>
  <c r="J154" i="25"/>
  <c r="H154" i="25"/>
  <c r="I154" i="25" s="1"/>
  <c r="E154" i="25"/>
  <c r="BB153" i="25"/>
  <c r="AX153" i="25"/>
  <c r="AT153" i="25"/>
  <c r="AQ153" i="25"/>
  <c r="AP153" i="25"/>
  <c r="AO153" i="25"/>
  <c r="AN153" i="25"/>
  <c r="AM153" i="25"/>
  <c r="R153" i="25"/>
  <c r="J153" i="25"/>
  <c r="H153" i="25"/>
  <c r="E153" i="25"/>
  <c r="BB152" i="25"/>
  <c r="AX152" i="25"/>
  <c r="AT152" i="25"/>
  <c r="AQ152" i="25"/>
  <c r="AP152" i="25"/>
  <c r="AO152" i="25"/>
  <c r="AN152" i="25"/>
  <c r="AM152" i="25"/>
  <c r="R152" i="25"/>
  <c r="J152" i="25"/>
  <c r="K152" i="25" s="1"/>
  <c r="H152" i="25"/>
  <c r="I152" i="25" s="1"/>
  <c r="E152" i="25"/>
  <c r="BB151" i="25"/>
  <c r="BA151" i="25"/>
  <c r="AZ151" i="25"/>
  <c r="AX151" i="25"/>
  <c r="AW151" i="25"/>
  <c r="AV151" i="25"/>
  <c r="AU151" i="25"/>
  <c r="AT151" i="25"/>
  <c r="AS151" i="25"/>
  <c r="AR151" i="25"/>
  <c r="AQ151" i="25"/>
  <c r="AP151" i="25"/>
  <c r="AO151" i="25"/>
  <c r="AN151" i="25"/>
  <c r="AM151" i="25"/>
  <c r="AL151" i="25"/>
  <c r="AK151" i="25"/>
  <c r="S151" i="25"/>
  <c r="K151" i="25"/>
  <c r="J151" i="25"/>
  <c r="H151" i="25"/>
  <c r="I151" i="25" s="1"/>
  <c r="E151" i="25"/>
  <c r="BB150" i="25"/>
  <c r="AX150" i="25"/>
  <c r="AT150" i="25"/>
  <c r="AQ150" i="25"/>
  <c r="AP150" i="25"/>
  <c r="AO150" i="25"/>
  <c r="AN150" i="25"/>
  <c r="AM150" i="25"/>
  <c r="S150" i="25"/>
  <c r="J150" i="25"/>
  <c r="K150" i="25" s="1"/>
  <c r="E150" i="25"/>
  <c r="BB149" i="25"/>
  <c r="AX149" i="25"/>
  <c r="AT149" i="25"/>
  <c r="AQ149" i="25"/>
  <c r="AP149" i="25"/>
  <c r="AO149" i="25"/>
  <c r="AN149" i="25"/>
  <c r="AM149" i="25"/>
  <c r="S149" i="25"/>
  <c r="J149" i="25"/>
  <c r="H149" i="25"/>
  <c r="E149" i="25"/>
  <c r="BB148" i="25"/>
  <c r="AX148" i="25"/>
  <c r="AT148" i="25"/>
  <c r="AQ148" i="25"/>
  <c r="AP148" i="25"/>
  <c r="AO148" i="25"/>
  <c r="AN148" i="25"/>
  <c r="AM148" i="25"/>
  <c r="S148" i="25"/>
  <c r="J148" i="25"/>
  <c r="H148" i="25"/>
  <c r="E148" i="25"/>
  <c r="BB147" i="25"/>
  <c r="AX147" i="25"/>
  <c r="AJ147" i="25" s="1"/>
  <c r="AT147" i="25"/>
  <c r="AI147" i="25" s="1"/>
  <c r="AQ147" i="25"/>
  <c r="AP147" i="25"/>
  <c r="AO147" i="25"/>
  <c r="AN147" i="25"/>
  <c r="AM147" i="25"/>
  <c r="S147" i="25"/>
  <c r="J147" i="25"/>
  <c r="H147" i="25"/>
  <c r="I147" i="25" s="1"/>
  <c r="E147" i="25"/>
  <c r="BB146" i="25"/>
  <c r="AX146" i="25"/>
  <c r="AT146" i="25"/>
  <c r="AQ146" i="25"/>
  <c r="AP146" i="25"/>
  <c r="AO146" i="25"/>
  <c r="AN146" i="25"/>
  <c r="AM146" i="25"/>
  <c r="S146" i="25"/>
  <c r="J146" i="25"/>
  <c r="H146" i="25"/>
  <c r="E146" i="25"/>
  <c r="BB145" i="25"/>
  <c r="AX145" i="25"/>
  <c r="AT145" i="25"/>
  <c r="AQ145" i="25"/>
  <c r="AP145" i="25"/>
  <c r="AO145" i="25"/>
  <c r="AN145" i="25"/>
  <c r="AM145" i="25"/>
  <c r="S145" i="25"/>
  <c r="J145" i="25"/>
  <c r="H145" i="25"/>
  <c r="E145" i="25"/>
  <c r="BB144" i="25"/>
  <c r="AX144" i="25"/>
  <c r="AT144" i="25"/>
  <c r="AQ144" i="25"/>
  <c r="AP144" i="25"/>
  <c r="AO144" i="25"/>
  <c r="AN144" i="25"/>
  <c r="AM144" i="25"/>
  <c r="S144" i="25"/>
  <c r="J144" i="25"/>
  <c r="K144" i="25" s="1"/>
  <c r="I144" i="25"/>
  <c r="H144" i="25"/>
  <c r="E144" i="25"/>
  <c r="BB143" i="25"/>
  <c r="AX143" i="25"/>
  <c r="AJ143" i="25" s="1"/>
  <c r="AT143" i="25"/>
  <c r="AQ143" i="25"/>
  <c r="AP143" i="25"/>
  <c r="AO143" i="25"/>
  <c r="AN143" i="25"/>
  <c r="AM143" i="25"/>
  <c r="S143" i="25"/>
  <c r="J143" i="25"/>
  <c r="M143" i="25" s="1"/>
  <c r="H143" i="25"/>
  <c r="I143" i="25" s="1"/>
  <c r="E143" i="25"/>
  <c r="BB142" i="25"/>
  <c r="AX142" i="25"/>
  <c r="AT142" i="25"/>
  <c r="AQ142" i="25"/>
  <c r="AP142" i="25"/>
  <c r="AO142" i="25"/>
  <c r="AN142" i="25"/>
  <c r="AM142" i="25"/>
  <c r="S142" i="25"/>
  <c r="J142" i="25"/>
  <c r="K142" i="25" s="1"/>
  <c r="H142" i="25"/>
  <c r="E142" i="25"/>
  <c r="BB141" i="25"/>
  <c r="AX141" i="25"/>
  <c r="AT141" i="25"/>
  <c r="AQ141" i="25"/>
  <c r="AP141" i="25"/>
  <c r="AO141" i="25"/>
  <c r="AN141" i="25"/>
  <c r="AM141" i="25"/>
  <c r="S141" i="25"/>
  <c r="H141" i="25"/>
  <c r="E141" i="25"/>
  <c r="BB140" i="25"/>
  <c r="AX140" i="25"/>
  <c r="AT140" i="25"/>
  <c r="AQ140" i="25"/>
  <c r="AP140" i="25"/>
  <c r="AO140" i="25"/>
  <c r="AN140" i="25"/>
  <c r="AM140" i="25"/>
  <c r="S140" i="25"/>
  <c r="J140" i="25"/>
  <c r="H140" i="25"/>
  <c r="E140" i="25"/>
  <c r="BB139" i="25"/>
  <c r="AX139" i="25"/>
  <c r="AJ139" i="25" s="1"/>
  <c r="AT139" i="25"/>
  <c r="AQ139" i="25"/>
  <c r="AP139" i="25"/>
  <c r="AO139" i="25"/>
  <c r="AN139" i="25"/>
  <c r="AM139" i="25"/>
  <c r="S139" i="25"/>
  <c r="J139" i="25"/>
  <c r="H139" i="25"/>
  <c r="I139" i="25" s="1"/>
  <c r="E139" i="25"/>
  <c r="BB138" i="25"/>
  <c r="AX138" i="25"/>
  <c r="AT138" i="25"/>
  <c r="AQ138" i="25"/>
  <c r="AP138" i="25"/>
  <c r="AO138" i="25"/>
  <c r="AN138" i="25"/>
  <c r="AM138" i="25"/>
  <c r="S138" i="25"/>
  <c r="J138" i="25"/>
  <c r="H138" i="25"/>
  <c r="E138" i="25"/>
  <c r="BB137" i="25"/>
  <c r="BA137" i="25"/>
  <c r="AX137" i="25"/>
  <c r="AT137" i="25"/>
  <c r="AQ137" i="25"/>
  <c r="AP137" i="25"/>
  <c r="AO137" i="25"/>
  <c r="AN137" i="25"/>
  <c r="AM137" i="25"/>
  <c r="S137" i="25"/>
  <c r="J137" i="25"/>
  <c r="H137" i="25"/>
  <c r="E137" i="25"/>
  <c r="BB136" i="25"/>
  <c r="AX136" i="25"/>
  <c r="AT136" i="25"/>
  <c r="AQ136" i="25"/>
  <c r="AP136" i="25"/>
  <c r="AO136" i="25"/>
  <c r="AN136" i="25"/>
  <c r="AM136" i="25"/>
  <c r="S136" i="25"/>
  <c r="J136" i="25"/>
  <c r="K136" i="25" s="1"/>
  <c r="H136" i="25"/>
  <c r="I136" i="25" s="1"/>
  <c r="E136" i="25"/>
  <c r="BB135" i="25"/>
  <c r="AX135" i="25"/>
  <c r="AT135" i="25"/>
  <c r="AQ135" i="25"/>
  <c r="AP135" i="25"/>
  <c r="AO135" i="25"/>
  <c r="AN135" i="25"/>
  <c r="AM135" i="25"/>
  <c r="AL135" i="25"/>
  <c r="S135" i="25"/>
  <c r="J135" i="25"/>
  <c r="K135" i="25" s="1"/>
  <c r="H135" i="25"/>
  <c r="E135" i="25"/>
  <c r="BB134" i="25"/>
  <c r="AX134" i="25"/>
  <c r="AT134" i="25"/>
  <c r="AQ134" i="25"/>
  <c r="AP134" i="25"/>
  <c r="AO134" i="25"/>
  <c r="AN134" i="25"/>
  <c r="AM134" i="25"/>
  <c r="S134" i="25"/>
  <c r="J134" i="25"/>
  <c r="K134" i="25" s="1"/>
  <c r="H134" i="25"/>
  <c r="E134" i="25"/>
  <c r="BB133" i="25"/>
  <c r="AX133" i="25"/>
  <c r="AT133" i="25"/>
  <c r="AQ133" i="25"/>
  <c r="AP133" i="25"/>
  <c r="AO133" i="25"/>
  <c r="AN133" i="25"/>
  <c r="AM133" i="25"/>
  <c r="S133" i="25"/>
  <c r="J133" i="25"/>
  <c r="H133" i="25"/>
  <c r="E133" i="25"/>
  <c r="BB132" i="25"/>
  <c r="AX132" i="25"/>
  <c r="AT132" i="25"/>
  <c r="AQ132" i="25"/>
  <c r="AP132" i="25"/>
  <c r="AO132" i="25"/>
  <c r="AN132" i="25"/>
  <c r="AM132" i="25"/>
  <c r="AL132" i="25"/>
  <c r="S132" i="25"/>
  <c r="J132" i="25"/>
  <c r="H132" i="25"/>
  <c r="E132" i="25"/>
  <c r="BB131" i="25"/>
  <c r="AX131" i="25"/>
  <c r="AT131" i="25"/>
  <c r="AQ131" i="25"/>
  <c r="AP131" i="25"/>
  <c r="AO131" i="25"/>
  <c r="AN131" i="25"/>
  <c r="AM131" i="25"/>
  <c r="S131" i="25"/>
  <c r="J131" i="25"/>
  <c r="K131" i="25" s="1"/>
  <c r="H131" i="25"/>
  <c r="E131" i="25"/>
  <c r="BB130" i="25"/>
  <c r="AX130" i="25"/>
  <c r="AT130" i="25"/>
  <c r="AQ130" i="25"/>
  <c r="AP130" i="25"/>
  <c r="AO130" i="25"/>
  <c r="AN130" i="25"/>
  <c r="AM130" i="25"/>
  <c r="S130" i="25"/>
  <c r="K130" i="25"/>
  <c r="J130" i="25"/>
  <c r="H130" i="25"/>
  <c r="E130" i="25"/>
  <c r="BB129" i="25"/>
  <c r="AX129" i="25"/>
  <c r="AJ129" i="25" s="1"/>
  <c r="AT129" i="25"/>
  <c r="AI129" i="25" s="1"/>
  <c r="AQ129" i="25"/>
  <c r="AP129" i="25"/>
  <c r="AO129" i="25"/>
  <c r="AN129" i="25"/>
  <c r="AM129" i="25"/>
  <c r="S129" i="25"/>
  <c r="J129" i="25"/>
  <c r="M129" i="25" s="1"/>
  <c r="H129" i="25"/>
  <c r="I129" i="25" s="1"/>
  <c r="E129" i="25"/>
  <c r="BB128" i="25"/>
  <c r="AX128" i="25"/>
  <c r="AT128" i="25"/>
  <c r="AQ128" i="25"/>
  <c r="AP128" i="25"/>
  <c r="AO128" i="25"/>
  <c r="AN128" i="25"/>
  <c r="AM128" i="25"/>
  <c r="S128" i="25"/>
  <c r="J128" i="25"/>
  <c r="K128" i="25" s="1"/>
  <c r="H128" i="25"/>
  <c r="I128" i="25" s="1"/>
  <c r="E128" i="25"/>
  <c r="BB127" i="25"/>
  <c r="AZ127" i="25"/>
  <c r="AX127" i="25"/>
  <c r="AT127" i="25"/>
  <c r="AQ127" i="25"/>
  <c r="AP127" i="25"/>
  <c r="AO127" i="25"/>
  <c r="AN127" i="25"/>
  <c r="AM127" i="25"/>
  <c r="S127" i="25"/>
  <c r="J127" i="25"/>
  <c r="H127" i="25"/>
  <c r="I127" i="25" s="1"/>
  <c r="E127" i="25"/>
  <c r="BB126" i="25"/>
  <c r="AX126" i="25"/>
  <c r="AT126" i="25"/>
  <c r="AQ126" i="25"/>
  <c r="AP126" i="25"/>
  <c r="AO126" i="25"/>
  <c r="AN126" i="25"/>
  <c r="AM126" i="25"/>
  <c r="S126" i="25"/>
  <c r="J126" i="25"/>
  <c r="H126" i="25"/>
  <c r="I126" i="25" s="1"/>
  <c r="E126" i="25"/>
  <c r="BB125" i="25"/>
  <c r="AX125" i="25"/>
  <c r="AT125" i="25"/>
  <c r="AQ125" i="25"/>
  <c r="AP125" i="25"/>
  <c r="AO125" i="25"/>
  <c r="AN125" i="25"/>
  <c r="AM125" i="25"/>
  <c r="S125" i="25"/>
  <c r="J125" i="25"/>
  <c r="H125" i="25"/>
  <c r="E125" i="25"/>
  <c r="BB124" i="25"/>
  <c r="AX124" i="25"/>
  <c r="AJ124" i="25" s="1"/>
  <c r="AT124" i="25"/>
  <c r="AQ124" i="25"/>
  <c r="AP124" i="25"/>
  <c r="AO124" i="25"/>
  <c r="AN124" i="25"/>
  <c r="AM124" i="25"/>
  <c r="S124" i="25"/>
  <c r="K124" i="25"/>
  <c r="J124" i="25"/>
  <c r="M124" i="25" s="1"/>
  <c r="H124" i="25"/>
  <c r="I124" i="25" s="1"/>
  <c r="E124" i="25"/>
  <c r="BB123" i="25"/>
  <c r="AX123" i="25"/>
  <c r="AT123" i="25"/>
  <c r="AQ123" i="25"/>
  <c r="AP123" i="25"/>
  <c r="AO123" i="25"/>
  <c r="AN123" i="25"/>
  <c r="AM123" i="25"/>
  <c r="S123" i="25"/>
  <c r="H123" i="25"/>
  <c r="I123" i="25" s="1"/>
  <c r="E123" i="25"/>
  <c r="BB122" i="25"/>
  <c r="AX122" i="25"/>
  <c r="AT122" i="25"/>
  <c r="AQ122" i="25"/>
  <c r="AP122" i="25"/>
  <c r="AO122" i="25"/>
  <c r="AN122" i="25"/>
  <c r="AM122" i="25"/>
  <c r="S122" i="25"/>
  <c r="J122" i="25"/>
  <c r="H122" i="25"/>
  <c r="E122" i="25"/>
  <c r="AZ114" i="25"/>
  <c r="AX114" i="25"/>
  <c r="AT114" i="25"/>
  <c r="AZ113" i="25"/>
  <c r="Y113" i="25"/>
  <c r="W113" i="25"/>
  <c r="R113" i="25"/>
  <c r="Q113" i="25"/>
  <c r="P113" i="25"/>
  <c r="AZ112" i="25"/>
  <c r="Y112" i="25"/>
  <c r="W112" i="25"/>
  <c r="R112" i="25"/>
  <c r="Q112" i="25"/>
  <c r="P112" i="25" s="1"/>
  <c r="AZ111" i="25"/>
  <c r="Y111" i="25"/>
  <c r="W111" i="25"/>
  <c r="R111" i="25"/>
  <c r="Q111" i="25"/>
  <c r="P111" i="25"/>
  <c r="BB108" i="25"/>
  <c r="BB109" i="25" s="1"/>
  <c r="AN108" i="25"/>
  <c r="AZ107" i="25"/>
  <c r="AZ106" i="25"/>
  <c r="J106" i="25"/>
  <c r="J109" i="25" s="1"/>
  <c r="J160" i="25" s="1"/>
  <c r="H106" i="25"/>
  <c r="BB105" i="25"/>
  <c r="AX105" i="25"/>
  <c r="AT105" i="25"/>
  <c r="AQ105" i="25"/>
  <c r="AQ108" i="25" s="1"/>
  <c r="AP105" i="25"/>
  <c r="AP108" i="25" s="1"/>
  <c r="AO105" i="25"/>
  <c r="AN105" i="25"/>
  <c r="AM105" i="25"/>
  <c r="AE105" i="25"/>
  <c r="BF104" i="25"/>
  <c r="AZ104" i="25"/>
  <c r="AL104" i="25"/>
  <c r="AL158" i="25" s="1"/>
  <c r="AK104" i="25"/>
  <c r="AA104" i="25"/>
  <c r="Y104" i="25"/>
  <c r="W104" i="25"/>
  <c r="V104" i="25"/>
  <c r="U104" i="25"/>
  <c r="S104" i="25"/>
  <c r="R104" i="25"/>
  <c r="Q104" i="25"/>
  <c r="L104" i="25"/>
  <c r="K104" i="25"/>
  <c r="AD104" i="25" s="1"/>
  <c r="I104" i="25"/>
  <c r="BF103" i="25"/>
  <c r="BA103" i="25"/>
  <c r="BA157" i="25" s="1"/>
  <c r="AZ103" i="25"/>
  <c r="AR103" i="25"/>
  <c r="AR157" i="25" s="1"/>
  <c r="AL103" i="25"/>
  <c r="AL157" i="25" s="1"/>
  <c r="AK103" i="25"/>
  <c r="AK157" i="25" s="1"/>
  <c r="AI103" i="25"/>
  <c r="AH103" i="25"/>
  <c r="AD103" i="25"/>
  <c r="AA103" i="25"/>
  <c r="Y103" i="25"/>
  <c r="W103" i="25"/>
  <c r="V103" i="25"/>
  <c r="U103" i="25"/>
  <c r="S103" i="25"/>
  <c r="R103" i="25"/>
  <c r="Q103" i="25"/>
  <c r="L103" i="25"/>
  <c r="K103" i="25"/>
  <c r="I103" i="25"/>
  <c r="AJ103" i="25" s="1"/>
  <c r="BF102" i="25"/>
  <c r="BB102" i="25"/>
  <c r="AZ102" i="25"/>
  <c r="AL102" i="25"/>
  <c r="AK102" i="25" s="1"/>
  <c r="AD102" i="25"/>
  <c r="Y102" i="25"/>
  <c r="W102" i="25"/>
  <c r="V102" i="25"/>
  <c r="U102" i="25" s="1"/>
  <c r="R102" i="25"/>
  <c r="Q102" i="25"/>
  <c r="J102" i="25"/>
  <c r="K102" i="25" s="1"/>
  <c r="H102" i="25"/>
  <c r="S102" i="25" s="1"/>
  <c r="BF101" i="25"/>
  <c r="BA101" i="25"/>
  <c r="AZ101" i="25"/>
  <c r="AY101" i="25"/>
  <c r="AW101" i="25"/>
  <c r="AS101" i="25"/>
  <c r="AU101" i="25" s="1"/>
  <c r="AR101" i="25"/>
  <c r="AL101" i="25"/>
  <c r="AK101" i="25" s="1"/>
  <c r="AJ101" i="25"/>
  <c r="AH101" i="25"/>
  <c r="AA101" i="25"/>
  <c r="Y101" i="25"/>
  <c r="W101" i="25"/>
  <c r="V101" i="25"/>
  <c r="U101" i="25"/>
  <c r="S101" i="25"/>
  <c r="R101" i="25"/>
  <c r="Q101" i="25"/>
  <c r="AV101" i="25" s="1"/>
  <c r="AF101" i="25" s="1"/>
  <c r="P101" i="25"/>
  <c r="L101" i="25"/>
  <c r="K101" i="25"/>
  <c r="AD101" i="25" s="1"/>
  <c r="I101" i="25"/>
  <c r="AI101" i="25" s="1"/>
  <c r="BF100" i="25"/>
  <c r="AZ100" i="25"/>
  <c r="AL100" i="25"/>
  <c r="AK100" i="25"/>
  <c r="AI100" i="25"/>
  <c r="AA100" i="25"/>
  <c r="Y100" i="25"/>
  <c r="W100" i="25"/>
  <c r="V100" i="25"/>
  <c r="U100" i="25"/>
  <c r="S100" i="25"/>
  <c r="R100" i="25"/>
  <c r="Q100" i="25"/>
  <c r="P100" i="25"/>
  <c r="L100" i="25"/>
  <c r="K100" i="25"/>
  <c r="AD100" i="25" s="1"/>
  <c r="I100" i="25"/>
  <c r="AJ100" i="25" s="1"/>
  <c r="BF99" i="25"/>
  <c r="BA99" i="25"/>
  <c r="AZ99" i="25"/>
  <c r="AL99" i="25"/>
  <c r="AK99" i="25"/>
  <c r="AJ99" i="25"/>
  <c r="Y99" i="25"/>
  <c r="W99" i="25"/>
  <c r="V99" i="25"/>
  <c r="U99" i="25" s="1"/>
  <c r="S99" i="25"/>
  <c r="R99" i="25"/>
  <c r="Q99" i="25"/>
  <c r="P99" i="25" s="1"/>
  <c r="L99" i="25"/>
  <c r="K99" i="25"/>
  <c r="AD99" i="25" s="1"/>
  <c r="I99" i="25"/>
  <c r="AI99" i="25" s="1"/>
  <c r="BF98" i="25"/>
  <c r="BA98" i="25"/>
  <c r="AZ98" i="25"/>
  <c r="AY98" i="25"/>
  <c r="AL98" i="25"/>
  <c r="AK98" i="25"/>
  <c r="AI98" i="25"/>
  <c r="AS98" i="25" s="1"/>
  <c r="AU98" i="25" s="1"/>
  <c r="AH98" i="25"/>
  <c r="Y98" i="25"/>
  <c r="W98" i="25"/>
  <c r="V98" i="25"/>
  <c r="U98" i="25" s="1"/>
  <c r="S98" i="25"/>
  <c r="R98" i="25"/>
  <c r="Q98" i="25"/>
  <c r="P98" i="25" s="1"/>
  <c r="L98" i="25"/>
  <c r="K98" i="25"/>
  <c r="AD98" i="25" s="1"/>
  <c r="I98" i="25"/>
  <c r="AJ98" i="25" s="1"/>
  <c r="BF97" i="25"/>
  <c r="AZ97" i="25"/>
  <c r="AL97" i="25"/>
  <c r="AK97" i="25"/>
  <c r="AJ97" i="25"/>
  <c r="AA97" i="25"/>
  <c r="Y97" i="25"/>
  <c r="W97" i="25"/>
  <c r="V97" i="25"/>
  <c r="U97" i="25"/>
  <c r="S97" i="25"/>
  <c r="R97" i="25"/>
  <c r="Q97" i="25"/>
  <c r="P97" i="25"/>
  <c r="L97" i="25"/>
  <c r="K97" i="25"/>
  <c r="AD97" i="25" s="1"/>
  <c r="I97" i="25"/>
  <c r="BF96" i="25"/>
  <c r="AZ96" i="25"/>
  <c r="AY96" i="25" s="1"/>
  <c r="AL96" i="25"/>
  <c r="AK96" i="25" s="1"/>
  <c r="AD96" i="25"/>
  <c r="AA96" i="25"/>
  <c r="Y96" i="25"/>
  <c r="W96" i="25"/>
  <c r="S96" i="25"/>
  <c r="R96" i="25"/>
  <c r="Q96" i="25"/>
  <c r="P96" i="25"/>
  <c r="L96" i="25"/>
  <c r="K96" i="25"/>
  <c r="I96" i="25"/>
  <c r="BF95" i="25"/>
  <c r="AZ95" i="25"/>
  <c r="AL95" i="25"/>
  <c r="AK95" i="25" s="1"/>
  <c r="AA95" i="25"/>
  <c r="Y95" i="25"/>
  <c r="W95" i="25"/>
  <c r="V95" i="25"/>
  <c r="U95" i="25"/>
  <c r="S95" i="25"/>
  <c r="R95" i="25"/>
  <c r="Q95" i="25"/>
  <c r="P95" i="25"/>
  <c r="L95" i="25"/>
  <c r="K95" i="25"/>
  <c r="AD95" i="25" s="1"/>
  <c r="I95" i="25"/>
  <c r="AJ95" i="25" s="1"/>
  <c r="AV95" i="25" s="1"/>
  <c r="BF94" i="25"/>
  <c r="AZ94" i="25"/>
  <c r="AL94" i="25"/>
  <c r="AL150" i="25" s="1"/>
  <c r="AK94" i="25"/>
  <c r="AA94" i="25"/>
  <c r="Y94" i="25"/>
  <c r="W94" i="25"/>
  <c r="V94" i="25"/>
  <c r="U94" i="25" s="1"/>
  <c r="R94" i="25"/>
  <c r="Q94" i="25"/>
  <c r="P94" i="25"/>
  <c r="K94" i="25"/>
  <c r="AD94" i="25" s="1"/>
  <c r="H94" i="25"/>
  <c r="BF93" i="25"/>
  <c r="BA93" i="25"/>
  <c r="BA160" i="25" s="1"/>
  <c r="AZ93" i="25"/>
  <c r="AY93" i="25"/>
  <c r="AL93" i="25"/>
  <c r="AL160" i="25" s="1"/>
  <c r="AJ93" i="25"/>
  <c r="Y93" i="25"/>
  <c r="W93" i="25"/>
  <c r="V93" i="25"/>
  <c r="U93" i="25"/>
  <c r="R93" i="25"/>
  <c r="Q93" i="25"/>
  <c r="L93" i="25"/>
  <c r="K93" i="25"/>
  <c r="I93" i="25"/>
  <c r="BF92" i="25"/>
  <c r="AZ92" i="25"/>
  <c r="AL92" i="25"/>
  <c r="AK92" i="25" s="1"/>
  <c r="AH92" i="25" s="1"/>
  <c r="AD92" i="25"/>
  <c r="AA92" i="25"/>
  <c r="Y92" i="25"/>
  <c r="W92" i="25"/>
  <c r="V92" i="25"/>
  <c r="U92" i="25" s="1"/>
  <c r="S92" i="25"/>
  <c r="R92" i="25"/>
  <c r="Q92" i="25"/>
  <c r="P92" i="25" s="1"/>
  <c r="L92" i="25"/>
  <c r="K92" i="25"/>
  <c r="I92" i="25"/>
  <c r="AY92" i="25" s="1"/>
  <c r="BF91" i="25"/>
  <c r="BA91" i="25"/>
  <c r="AZ91" i="25"/>
  <c r="AY91" i="25"/>
  <c r="AV91" i="25"/>
  <c r="AL91" i="25"/>
  <c r="AK91" i="25"/>
  <c r="AJ91" i="25"/>
  <c r="AI91" i="25"/>
  <c r="AD91" i="25"/>
  <c r="Y91" i="25"/>
  <c r="W91" i="25"/>
  <c r="V91" i="25"/>
  <c r="U91" i="25"/>
  <c r="S91" i="25"/>
  <c r="R91" i="25"/>
  <c r="Q91" i="25"/>
  <c r="AW91" i="25" s="1"/>
  <c r="L91" i="25"/>
  <c r="K91" i="25"/>
  <c r="I91" i="25"/>
  <c r="BF90" i="25"/>
  <c r="AZ90" i="25"/>
  <c r="AY90" i="25" s="1"/>
  <c r="AV90" i="25"/>
  <c r="AS90" i="25"/>
  <c r="AU90" i="25" s="1"/>
  <c r="AL90" i="25"/>
  <c r="AK90" i="25" s="1"/>
  <c r="AH90" i="25" s="1"/>
  <c r="AJ90" i="25"/>
  <c r="Y90" i="25"/>
  <c r="W90" i="25"/>
  <c r="V90" i="25"/>
  <c r="U90" i="25" s="1"/>
  <c r="S90" i="25"/>
  <c r="R90" i="25"/>
  <c r="Q90" i="25"/>
  <c r="L90" i="25"/>
  <c r="K90" i="25"/>
  <c r="AD90" i="25" s="1"/>
  <c r="I90" i="25"/>
  <c r="AI90" i="25" s="1"/>
  <c r="BF89" i="25"/>
  <c r="BA89" i="25"/>
  <c r="BA149" i="25" s="1"/>
  <c r="AZ89" i="25"/>
  <c r="AL89" i="25"/>
  <c r="AL149" i="25" s="1"/>
  <c r="AK89" i="25"/>
  <c r="AK149" i="25" s="1"/>
  <c r="AJ89" i="25"/>
  <c r="AI89" i="25"/>
  <c r="AH89" i="25"/>
  <c r="Y89" i="25"/>
  <c r="W89" i="25"/>
  <c r="V89" i="25"/>
  <c r="U89" i="25" s="1"/>
  <c r="S89" i="25"/>
  <c r="R89" i="25"/>
  <c r="Q89" i="25"/>
  <c r="P89" i="25" s="1"/>
  <c r="L89" i="25"/>
  <c r="K89" i="25"/>
  <c r="AD89" i="25" s="1"/>
  <c r="I89" i="25"/>
  <c r="BF88" i="25"/>
  <c r="BA88" i="25"/>
  <c r="BA148" i="25" s="1"/>
  <c r="AZ88" i="25"/>
  <c r="AZ148" i="25" s="1"/>
  <c r="AY88" i="25"/>
  <c r="AL88" i="25"/>
  <c r="AI88" i="25"/>
  <c r="AR88" i="25" s="1"/>
  <c r="AR148" i="25" s="1"/>
  <c r="AD88" i="25"/>
  <c r="AA88" i="25"/>
  <c r="Y88" i="25"/>
  <c r="W88" i="25"/>
  <c r="V88" i="25"/>
  <c r="U88" i="25" s="1"/>
  <c r="S88" i="25"/>
  <c r="R88" i="25"/>
  <c r="Q88" i="25"/>
  <c r="L88" i="25"/>
  <c r="K88" i="25"/>
  <c r="I88" i="25"/>
  <c r="AJ88" i="25" s="1"/>
  <c r="BF87" i="25"/>
  <c r="BA87" i="25"/>
  <c r="AZ87" i="25"/>
  <c r="AY87" i="25" s="1"/>
  <c r="AL87" i="25"/>
  <c r="AK87" i="25"/>
  <c r="AJ87" i="25"/>
  <c r="AA87" i="25"/>
  <c r="Y87" i="25"/>
  <c r="W87" i="25"/>
  <c r="V87" i="25"/>
  <c r="U87" i="25"/>
  <c r="S87" i="25"/>
  <c r="R87" i="25"/>
  <c r="Q87" i="25"/>
  <c r="P87" i="25" s="1"/>
  <c r="L87" i="25"/>
  <c r="K87" i="25"/>
  <c r="AD87" i="25" s="1"/>
  <c r="I87" i="25"/>
  <c r="AW87" i="25" s="1"/>
  <c r="BF86" i="25"/>
  <c r="AZ86" i="25"/>
  <c r="AL86" i="25"/>
  <c r="AL147" i="25" s="1"/>
  <c r="AK86" i="25"/>
  <c r="AJ86" i="25"/>
  <c r="AD86" i="25"/>
  <c r="AA86" i="25"/>
  <c r="Y86" i="25"/>
  <c r="W86" i="25"/>
  <c r="V86" i="25"/>
  <c r="U86" i="25" s="1"/>
  <c r="S86" i="25"/>
  <c r="R86" i="25"/>
  <c r="Q86" i="25"/>
  <c r="L86" i="25"/>
  <c r="K86" i="25"/>
  <c r="I86" i="25"/>
  <c r="AI86" i="25" s="1"/>
  <c r="BF85" i="25"/>
  <c r="AZ85" i="25"/>
  <c r="AL85" i="25"/>
  <c r="AK85" i="25"/>
  <c r="AA85" i="25"/>
  <c r="Y85" i="25"/>
  <c r="W85" i="25"/>
  <c r="V85" i="25"/>
  <c r="U85" i="25" s="1"/>
  <c r="S85" i="25"/>
  <c r="R85" i="25"/>
  <c r="Q85" i="25"/>
  <c r="L85" i="25"/>
  <c r="K85" i="25"/>
  <c r="I85" i="25"/>
  <c r="BF84" i="25"/>
  <c r="AZ84" i="25"/>
  <c r="AL84" i="25"/>
  <c r="AL144" i="25" s="1"/>
  <c r="AK84" i="25"/>
  <c r="AJ84" i="25"/>
  <c r="AA84" i="25"/>
  <c r="Y84" i="25"/>
  <c r="W84" i="25"/>
  <c r="V84" i="25"/>
  <c r="U84" i="25"/>
  <c r="S84" i="25"/>
  <c r="R84" i="25"/>
  <c r="Q84" i="25"/>
  <c r="P84" i="25"/>
  <c r="L84" i="25"/>
  <c r="K84" i="25"/>
  <c r="AD84" i="25" s="1"/>
  <c r="I84" i="25"/>
  <c r="BA84" i="25" s="1"/>
  <c r="BA144" i="25" s="1"/>
  <c r="BF83" i="25"/>
  <c r="AZ83" i="25"/>
  <c r="AZ146" i="25" s="1"/>
  <c r="AL83" i="25"/>
  <c r="AL146" i="25" s="1"/>
  <c r="AK83" i="25"/>
  <c r="AD83" i="25"/>
  <c r="Y83" i="25"/>
  <c r="W83" i="25"/>
  <c r="R83" i="25"/>
  <c r="Q83" i="25"/>
  <c r="L83" i="25"/>
  <c r="K83" i="25"/>
  <c r="I83" i="25"/>
  <c r="BF82" i="25"/>
  <c r="BA82" i="25"/>
  <c r="BA145" i="25" s="1"/>
  <c r="AZ82" i="25"/>
  <c r="AZ145" i="25" s="1"/>
  <c r="AY82" i="25"/>
  <c r="AS82" i="25"/>
  <c r="AL82" i="25"/>
  <c r="AL145" i="25" s="1"/>
  <c r="AK82" i="25"/>
  <c r="AJ82" i="25"/>
  <c r="Y82" i="25"/>
  <c r="W82" i="25"/>
  <c r="V82" i="25"/>
  <c r="U82" i="25" s="1"/>
  <c r="S82" i="25"/>
  <c r="R82" i="25"/>
  <c r="Q82" i="25"/>
  <c r="L82" i="25"/>
  <c r="K82" i="25"/>
  <c r="AD82" i="25" s="1"/>
  <c r="I82" i="25"/>
  <c r="AI82" i="25" s="1"/>
  <c r="BF81" i="25"/>
  <c r="AZ81" i="25"/>
  <c r="AZ159" i="25" s="1"/>
  <c r="AL81" i="25"/>
  <c r="AL159" i="25" s="1"/>
  <c r="AD81" i="25"/>
  <c r="AA81" i="25"/>
  <c r="Y81" i="25"/>
  <c r="W81" i="25"/>
  <c r="V81" i="25"/>
  <c r="U81" i="25"/>
  <c r="R81" i="25"/>
  <c r="Q81" i="25"/>
  <c r="P81" i="25"/>
  <c r="L81" i="25"/>
  <c r="K81" i="25"/>
  <c r="I81" i="25"/>
  <c r="BF80" i="25"/>
  <c r="AZ80" i="25"/>
  <c r="AL80" i="25"/>
  <c r="AL156" i="25" s="1"/>
  <c r="AJ80" i="25"/>
  <c r="AD80" i="25"/>
  <c r="AA80" i="25"/>
  <c r="Y80" i="25"/>
  <c r="W80" i="25"/>
  <c r="V80" i="25"/>
  <c r="U80" i="25" s="1"/>
  <c r="S80" i="25"/>
  <c r="R80" i="25"/>
  <c r="Q80" i="25"/>
  <c r="P80" i="25"/>
  <c r="L80" i="25"/>
  <c r="K80" i="25"/>
  <c r="I80" i="25"/>
  <c r="BA80" i="25" s="1"/>
  <c r="BA156" i="25" s="1"/>
  <c r="BF79" i="25"/>
  <c r="BA79" i="25"/>
  <c r="BA155" i="25" s="1"/>
  <c r="AZ79" i="25"/>
  <c r="AZ155" i="25" s="1"/>
  <c r="AY155" i="25" s="1"/>
  <c r="AY79" i="25"/>
  <c r="AW79" i="25"/>
  <c r="AL79" i="25"/>
  <c r="AL155" i="25" s="1"/>
  <c r="AK79" i="25"/>
  <c r="AK155" i="25" s="1"/>
  <c r="AH155" i="25" s="1"/>
  <c r="AH79" i="25"/>
  <c r="Y79" i="25"/>
  <c r="W79" i="25"/>
  <c r="V79" i="25"/>
  <c r="U79" i="25"/>
  <c r="S79" i="25"/>
  <c r="R79" i="25"/>
  <c r="Q79" i="25"/>
  <c r="P79" i="25"/>
  <c r="L79" i="25"/>
  <c r="K79" i="25"/>
  <c r="AD79" i="25" s="1"/>
  <c r="I79" i="25"/>
  <c r="AJ79" i="25" s="1"/>
  <c r="BF78" i="25"/>
  <c r="BA78" i="25"/>
  <c r="BA154" i="25" s="1"/>
  <c r="AZ78" i="25"/>
  <c r="AL78" i="25"/>
  <c r="AK78" i="25"/>
  <c r="AK154" i="25" s="1"/>
  <c r="AJ78" i="25"/>
  <c r="AI78" i="25"/>
  <c r="AH78" i="25"/>
  <c r="AD78" i="25"/>
  <c r="Y78" i="25"/>
  <c r="W78" i="25"/>
  <c r="V78" i="25"/>
  <c r="U78" i="25" s="1"/>
  <c r="S78" i="25"/>
  <c r="R78" i="25"/>
  <c r="Q78" i="25"/>
  <c r="AR78" i="25" s="1"/>
  <c r="AR154" i="25" s="1"/>
  <c r="L78" i="25"/>
  <c r="K78" i="25"/>
  <c r="I78" i="25"/>
  <c r="BF77" i="25"/>
  <c r="BA77" i="25"/>
  <c r="BA153" i="25" s="1"/>
  <c r="AZ77" i="25"/>
  <c r="AZ153" i="25" s="1"/>
  <c r="AL77" i="25"/>
  <c r="AL153" i="25" s="1"/>
  <c r="AK77" i="25"/>
  <c r="AJ77" i="25"/>
  <c r="AH77" i="25"/>
  <c r="AD77" i="25"/>
  <c r="AA77" i="25"/>
  <c r="Y77" i="25"/>
  <c r="W77" i="25"/>
  <c r="V77" i="25"/>
  <c r="U77" i="25" s="1"/>
  <c r="S77" i="25"/>
  <c r="R77" i="25"/>
  <c r="Q77" i="25"/>
  <c r="P77" i="25"/>
  <c r="L77" i="25"/>
  <c r="K77" i="25"/>
  <c r="I77" i="25"/>
  <c r="AI77" i="25" s="1"/>
  <c r="AR77" i="25" s="1"/>
  <c r="AR153" i="25" s="1"/>
  <c r="BF76" i="25"/>
  <c r="AZ76" i="25"/>
  <c r="AZ152" i="25" s="1"/>
  <c r="AL76" i="25"/>
  <c r="AL152" i="25" s="1"/>
  <c r="AI76" i="25"/>
  <c r="AD76" i="25"/>
  <c r="AB76" i="25"/>
  <c r="AS76" i="25" s="1"/>
  <c r="Y76" i="25"/>
  <c r="W76" i="25"/>
  <c r="V76" i="25"/>
  <c r="U76" i="25"/>
  <c r="S76" i="25"/>
  <c r="R76" i="25"/>
  <c r="Q76" i="25"/>
  <c r="P76" i="25"/>
  <c r="L76" i="25"/>
  <c r="K76" i="25"/>
  <c r="I76" i="25"/>
  <c r="BF75" i="25"/>
  <c r="AZ75" i="25"/>
  <c r="AZ143" i="25" s="1"/>
  <c r="AY143" i="25" s="1"/>
  <c r="AL75" i="25"/>
  <c r="AL143" i="25" s="1"/>
  <c r="AK75" i="25"/>
  <c r="Y75" i="25"/>
  <c r="W75" i="25"/>
  <c r="V75" i="25"/>
  <c r="U75" i="25" s="1"/>
  <c r="S75" i="25"/>
  <c r="R75" i="25"/>
  <c r="Q75" i="25"/>
  <c r="P75" i="25"/>
  <c r="L75" i="25"/>
  <c r="K75" i="25"/>
  <c r="AD75" i="25" s="1"/>
  <c r="I75" i="25"/>
  <c r="BF74" i="25"/>
  <c r="AZ74" i="25"/>
  <c r="AL74" i="25"/>
  <c r="AI74" i="25"/>
  <c r="AS74" i="25" s="1"/>
  <c r="AD74" i="25"/>
  <c r="AA74" i="25"/>
  <c r="Y74" i="25"/>
  <c r="W74" i="25"/>
  <c r="V74" i="25"/>
  <c r="U74" i="25"/>
  <c r="S74" i="25"/>
  <c r="R74" i="25"/>
  <c r="Q74" i="25"/>
  <c r="P74" i="25"/>
  <c r="L74" i="25"/>
  <c r="K74" i="25"/>
  <c r="I74" i="25"/>
  <c r="AJ74" i="25" s="1"/>
  <c r="BF73" i="25"/>
  <c r="AZ73" i="25"/>
  <c r="AY73" i="25" s="1"/>
  <c r="AL73" i="25"/>
  <c r="AK73" i="25"/>
  <c r="AJ73" i="25"/>
  <c r="AH73" i="25"/>
  <c r="AD73" i="25"/>
  <c r="AA73" i="25"/>
  <c r="Y73" i="25"/>
  <c r="W73" i="25"/>
  <c r="V73" i="25"/>
  <c r="U73" i="25" s="1"/>
  <c r="S73" i="25"/>
  <c r="R73" i="25"/>
  <c r="Q73" i="25"/>
  <c r="P73" i="25"/>
  <c r="L73" i="25"/>
  <c r="K73" i="25"/>
  <c r="I73" i="25"/>
  <c r="BF72" i="25"/>
  <c r="AZ72" i="25"/>
  <c r="AY72" i="25"/>
  <c r="AW72" i="25"/>
  <c r="AV72" i="25"/>
  <c r="AL72" i="25"/>
  <c r="AK72" i="25" s="1"/>
  <c r="AJ72" i="25"/>
  <c r="AH72" i="25"/>
  <c r="AD72" i="25"/>
  <c r="Y72" i="25"/>
  <c r="W72" i="25"/>
  <c r="V72" i="25"/>
  <c r="U72" i="25"/>
  <c r="S72" i="25"/>
  <c r="R72" i="25"/>
  <c r="Q72" i="25"/>
  <c r="L72" i="25"/>
  <c r="K72" i="25"/>
  <c r="I72" i="25"/>
  <c r="BA72" i="25" s="1"/>
  <c r="BF71" i="25"/>
  <c r="AZ71" i="25"/>
  <c r="AY71" i="25" s="1"/>
  <c r="AL71" i="25"/>
  <c r="AK71" i="25"/>
  <c r="AH71" i="25" s="1"/>
  <c r="AJ71" i="25"/>
  <c r="AI71" i="25"/>
  <c r="Y71" i="25"/>
  <c r="W71" i="25"/>
  <c r="V71" i="25"/>
  <c r="U71" i="25" s="1"/>
  <c r="S71" i="25"/>
  <c r="R71" i="25"/>
  <c r="Q71" i="25"/>
  <c r="L71" i="25"/>
  <c r="K71" i="25"/>
  <c r="AD71" i="25" s="1"/>
  <c r="I71" i="25"/>
  <c r="BA71" i="25" s="1"/>
  <c r="BF70" i="25"/>
  <c r="BA70" i="25"/>
  <c r="AZ70" i="25"/>
  <c r="AY70" i="25" s="1"/>
  <c r="AL70" i="25"/>
  <c r="AK70" i="25"/>
  <c r="AJ70" i="25"/>
  <c r="AI70" i="25"/>
  <c r="AH70" i="25"/>
  <c r="Y70" i="25"/>
  <c r="W70" i="25"/>
  <c r="V70" i="25"/>
  <c r="U70" i="25"/>
  <c r="S70" i="25"/>
  <c r="R70" i="25"/>
  <c r="Q70" i="25"/>
  <c r="J70" i="25"/>
  <c r="I70" i="25"/>
  <c r="BF69" i="25"/>
  <c r="BA69" i="25"/>
  <c r="AZ69" i="25"/>
  <c r="AY69" i="25"/>
  <c r="AL69" i="25"/>
  <c r="AL141" i="25" s="1"/>
  <c r="AK69" i="25"/>
  <c r="AJ69" i="25"/>
  <c r="AD69" i="25"/>
  <c r="AA69" i="25"/>
  <c r="Y69" i="25"/>
  <c r="W69" i="25"/>
  <c r="V69" i="25"/>
  <c r="U69" i="25"/>
  <c r="S69" i="25"/>
  <c r="R69" i="25"/>
  <c r="Q69" i="25"/>
  <c r="AW69" i="25" s="1"/>
  <c r="L69" i="25"/>
  <c r="K69" i="25"/>
  <c r="I69" i="25"/>
  <c r="AI69" i="25" s="1"/>
  <c r="BF68" i="25"/>
  <c r="AZ68" i="25"/>
  <c r="AZ140" i="25" s="1"/>
  <c r="AY68" i="25"/>
  <c r="AW68" i="25"/>
  <c r="AL68" i="25"/>
  <c r="AJ68" i="25"/>
  <c r="Y68" i="25"/>
  <c r="W68" i="25"/>
  <c r="V68" i="25"/>
  <c r="U68" i="25" s="1"/>
  <c r="S68" i="25"/>
  <c r="R68" i="25"/>
  <c r="Q68" i="25"/>
  <c r="P68" i="25"/>
  <c r="L68" i="25"/>
  <c r="K68" i="25"/>
  <c r="AD68" i="25" s="1"/>
  <c r="I68" i="25"/>
  <c r="BF67" i="25"/>
  <c r="AZ67" i="25"/>
  <c r="AZ139" i="25" s="1"/>
  <c r="AY139" i="25" s="1"/>
  <c r="AL67" i="25"/>
  <c r="AL139" i="25" s="1"/>
  <c r="AD67" i="25"/>
  <c r="AA67" i="25"/>
  <c r="Y67" i="25"/>
  <c r="W67" i="25"/>
  <c r="V67" i="25"/>
  <c r="U67" i="25" s="1"/>
  <c r="S67" i="25"/>
  <c r="R67" i="25"/>
  <c r="Q67" i="25"/>
  <c r="P67" i="25"/>
  <c r="L67" i="25"/>
  <c r="K67" i="25"/>
  <c r="I67" i="25"/>
  <c r="BA67" i="25" s="1"/>
  <c r="BF66" i="25"/>
  <c r="AZ66" i="25"/>
  <c r="AL66" i="25"/>
  <c r="AK66" i="25"/>
  <c r="AD66" i="25"/>
  <c r="Y66" i="25"/>
  <c r="W66" i="25"/>
  <c r="V66" i="25"/>
  <c r="U66" i="25" s="1"/>
  <c r="S66" i="25"/>
  <c r="R66" i="25"/>
  <c r="Q66" i="25"/>
  <c r="L66" i="25"/>
  <c r="K66" i="25"/>
  <c r="I66" i="25"/>
  <c r="J65" i="25"/>
  <c r="H65" i="25"/>
  <c r="K64" i="25"/>
  <c r="J64" i="25"/>
  <c r="I64" i="25"/>
  <c r="H64" i="25"/>
  <c r="L64" i="25" s="1"/>
  <c r="BB63" i="25"/>
  <c r="AX63" i="25"/>
  <c r="AT63" i="25"/>
  <c r="AQ63" i="25"/>
  <c r="AP63" i="25"/>
  <c r="AO63" i="25"/>
  <c r="AO108" i="25" s="1"/>
  <c r="AN63" i="25"/>
  <c r="AM63" i="25"/>
  <c r="AE63" i="25"/>
  <c r="AE108" i="25" s="1"/>
  <c r="J63" i="25"/>
  <c r="BF62" i="25"/>
  <c r="AZ62" i="25"/>
  <c r="AL62" i="25"/>
  <c r="AL137" i="25" s="1"/>
  <c r="AK62" i="25"/>
  <c r="AK137" i="25" s="1"/>
  <c r="AJ62" i="25"/>
  <c r="AI62" i="25"/>
  <c r="AH62" i="25"/>
  <c r="AD62" i="25"/>
  <c r="Y62" i="25"/>
  <c r="W62" i="25"/>
  <c r="S62" i="25"/>
  <c r="R62" i="25"/>
  <c r="Q62" i="25"/>
  <c r="L62" i="25"/>
  <c r="K62" i="25"/>
  <c r="I62" i="25"/>
  <c r="BA62" i="25" s="1"/>
  <c r="BF61" i="25"/>
  <c r="BA61" i="25"/>
  <c r="AZ61" i="25"/>
  <c r="AY61" i="25"/>
  <c r="AL61" i="25"/>
  <c r="AK61" i="25" s="1"/>
  <c r="AH61" i="25" s="1"/>
  <c r="AJ61" i="25"/>
  <c r="AD61" i="25"/>
  <c r="Y61" i="25"/>
  <c r="W61" i="25"/>
  <c r="V61" i="25"/>
  <c r="U61" i="25" s="1"/>
  <c r="S61" i="25"/>
  <c r="R61" i="25"/>
  <c r="Q61" i="25"/>
  <c r="AA61" i="25" s="1"/>
  <c r="L61" i="25"/>
  <c r="K61" i="25"/>
  <c r="I61" i="25"/>
  <c r="AI61" i="25" s="1"/>
  <c r="BF60" i="25"/>
  <c r="BA60" i="25"/>
  <c r="AZ60" i="25"/>
  <c r="AY60" i="25"/>
  <c r="AL60" i="25"/>
  <c r="AK60" i="25"/>
  <c r="AJ60" i="25"/>
  <c r="AI60" i="25"/>
  <c r="AH60" i="25"/>
  <c r="AA60" i="25"/>
  <c r="Y60" i="25"/>
  <c r="V60" i="25"/>
  <c r="U60" i="25"/>
  <c r="S60" i="25"/>
  <c r="R60" i="25"/>
  <c r="Q60" i="25"/>
  <c r="P60" i="25" s="1"/>
  <c r="L60" i="25"/>
  <c r="K60" i="25"/>
  <c r="AD60" i="25" s="1"/>
  <c r="I60" i="25"/>
  <c r="AW60" i="25" s="1"/>
  <c r="BF59" i="25"/>
  <c r="AZ59" i="25"/>
  <c r="AL59" i="25"/>
  <c r="AK59" i="25" s="1"/>
  <c r="AH59" i="25" s="1"/>
  <c r="AJ59" i="25"/>
  <c r="AV59" i="25" s="1"/>
  <c r="AI59" i="25"/>
  <c r="AD59" i="25"/>
  <c r="AA59" i="25"/>
  <c r="Y59" i="25"/>
  <c r="W59" i="25"/>
  <c r="V59" i="25"/>
  <c r="U59" i="25"/>
  <c r="S59" i="25"/>
  <c r="R59" i="25"/>
  <c r="Q59" i="25"/>
  <c r="P59" i="25"/>
  <c r="L59" i="25"/>
  <c r="K59" i="25"/>
  <c r="I59" i="25"/>
  <c r="BA59" i="25" s="1"/>
  <c r="BF58" i="25"/>
  <c r="AZ58" i="25"/>
  <c r="AY58" i="25"/>
  <c r="AW58" i="25"/>
  <c r="AG58" i="25" s="1"/>
  <c r="AV58" i="25"/>
  <c r="AR58" i="25"/>
  <c r="AL58" i="25"/>
  <c r="AK58" i="25"/>
  <c r="AH58" i="25" s="1"/>
  <c r="AJ58" i="25"/>
  <c r="AI58" i="25"/>
  <c r="Y58" i="25"/>
  <c r="W58" i="25"/>
  <c r="V58" i="25"/>
  <c r="U58" i="25" s="1"/>
  <c r="S58" i="25"/>
  <c r="R58" i="25"/>
  <c r="Q58" i="25"/>
  <c r="AS58" i="25" s="1"/>
  <c r="AU58" i="25" s="1"/>
  <c r="P58" i="25"/>
  <c r="L58" i="25"/>
  <c r="K58" i="25"/>
  <c r="AD58" i="25" s="1"/>
  <c r="I58" i="25"/>
  <c r="BA58" i="25" s="1"/>
  <c r="BF57" i="25"/>
  <c r="AZ57" i="25"/>
  <c r="AL57" i="25"/>
  <c r="AK57" i="25"/>
  <c r="AH57" i="25"/>
  <c r="AD57" i="25"/>
  <c r="AA57" i="25"/>
  <c r="Y57" i="25"/>
  <c r="W57" i="25"/>
  <c r="V57" i="25"/>
  <c r="U57" i="25"/>
  <c r="S57" i="25"/>
  <c r="R57" i="25"/>
  <c r="Q57" i="25"/>
  <c r="P57" i="25" s="1"/>
  <c r="L57" i="25"/>
  <c r="K57" i="25"/>
  <c r="I57" i="25"/>
  <c r="BA57" i="25" s="1"/>
  <c r="BF56" i="25"/>
  <c r="BA56" i="25"/>
  <c r="AZ56" i="25"/>
  <c r="AY56" i="25"/>
  <c r="AW56" i="25"/>
  <c r="AV56" i="25"/>
  <c r="AL56" i="25"/>
  <c r="AK56" i="25"/>
  <c r="AH56" i="25" s="1"/>
  <c r="AJ56" i="25"/>
  <c r="Y56" i="25"/>
  <c r="W56" i="25"/>
  <c r="V56" i="25"/>
  <c r="U56" i="25"/>
  <c r="S56" i="25"/>
  <c r="R56" i="25"/>
  <c r="Q56" i="25"/>
  <c r="AA56" i="25" s="1"/>
  <c r="L56" i="25"/>
  <c r="K56" i="25"/>
  <c r="AD56" i="25" s="1"/>
  <c r="I56" i="25"/>
  <c r="AI56" i="25" s="1"/>
  <c r="BF55" i="25"/>
  <c r="AZ55" i="25"/>
  <c r="AZ136" i="25" s="1"/>
  <c r="AL55" i="25"/>
  <c r="AL136" i="25" s="1"/>
  <c r="AK55" i="25"/>
  <c r="AK136" i="25" s="1"/>
  <c r="AH55" i="25"/>
  <c r="AD55" i="25"/>
  <c r="AA55" i="25"/>
  <c r="Y55" i="25"/>
  <c r="W55" i="25"/>
  <c r="S55" i="25"/>
  <c r="R55" i="25"/>
  <c r="Q55" i="25"/>
  <c r="L55" i="25"/>
  <c r="K55" i="25"/>
  <c r="I55" i="25"/>
  <c r="AI55" i="25" s="1"/>
  <c r="BF54" i="25"/>
  <c r="BA54" i="25"/>
  <c r="AZ54" i="25"/>
  <c r="AY54" i="25"/>
  <c r="AS54" i="25"/>
  <c r="AU54" i="25" s="1"/>
  <c r="AR54" i="25"/>
  <c r="AL54" i="25"/>
  <c r="AK54" i="25" s="1"/>
  <c r="AH54" i="25" s="1"/>
  <c r="AI54" i="25"/>
  <c r="AD54" i="25"/>
  <c r="Y54" i="25"/>
  <c r="W54" i="25"/>
  <c r="V54" i="25"/>
  <c r="U54" i="25"/>
  <c r="S54" i="25"/>
  <c r="R54" i="25"/>
  <c r="Q54" i="25"/>
  <c r="P54" i="25"/>
  <c r="L54" i="25"/>
  <c r="K54" i="25"/>
  <c r="I54" i="25"/>
  <c r="AJ54" i="25" s="1"/>
  <c r="BF53" i="25"/>
  <c r="AZ53" i="25"/>
  <c r="AL53" i="25"/>
  <c r="AK53" i="25"/>
  <c r="AH53" i="25" s="1"/>
  <c r="AD53" i="25"/>
  <c r="Y53" i="25"/>
  <c r="W53" i="25"/>
  <c r="S53" i="25"/>
  <c r="R53" i="25"/>
  <c r="Q53" i="25"/>
  <c r="L53" i="25"/>
  <c r="K53" i="25"/>
  <c r="I53" i="25"/>
  <c r="AI53" i="25" s="1"/>
  <c r="BF52" i="25"/>
  <c r="BA52" i="25"/>
  <c r="BA135" i="25" s="1"/>
  <c r="AZ52" i="25"/>
  <c r="AZ135" i="25" s="1"/>
  <c r="AY52" i="25"/>
  <c r="AS52" i="25"/>
  <c r="AR52" i="25"/>
  <c r="AR135" i="25" s="1"/>
  <c r="AL52" i="25"/>
  <c r="AK52" i="25" s="1"/>
  <c r="AJ52" i="25"/>
  <c r="AW52" i="25" s="1"/>
  <c r="AW135" i="25" s="1"/>
  <c r="AG52" i="25"/>
  <c r="AD52" i="25"/>
  <c r="Y52" i="25"/>
  <c r="W52" i="25"/>
  <c r="V52" i="25"/>
  <c r="U52" i="25" s="1"/>
  <c r="S52" i="25"/>
  <c r="R52" i="25"/>
  <c r="Q52" i="25"/>
  <c r="P52" i="25"/>
  <c r="L52" i="25"/>
  <c r="K52" i="25"/>
  <c r="I52" i="25"/>
  <c r="AI52" i="25" s="1"/>
  <c r="BF51" i="25"/>
  <c r="BA51" i="25"/>
  <c r="AZ51" i="25"/>
  <c r="AY51" i="25" s="1"/>
  <c r="AL51" i="25"/>
  <c r="AK51" i="25"/>
  <c r="AJ51" i="25"/>
  <c r="AH51" i="25"/>
  <c r="Y51" i="25"/>
  <c r="W51" i="25"/>
  <c r="V51" i="25"/>
  <c r="U51" i="25"/>
  <c r="S51" i="25"/>
  <c r="R51" i="25"/>
  <c r="Q51" i="25"/>
  <c r="L51" i="25"/>
  <c r="K51" i="25"/>
  <c r="AD51" i="25" s="1"/>
  <c r="I51" i="25"/>
  <c r="AW51" i="25" s="1"/>
  <c r="BF50" i="25"/>
  <c r="BA50" i="25"/>
  <c r="AZ50" i="25"/>
  <c r="AY50" i="25"/>
  <c r="AL50" i="25"/>
  <c r="AK50" i="25"/>
  <c r="AJ50" i="25"/>
  <c r="AH50" i="25"/>
  <c r="Y50" i="25"/>
  <c r="W50" i="25"/>
  <c r="V50" i="25"/>
  <c r="U50" i="25" s="1"/>
  <c r="S50" i="25"/>
  <c r="R50" i="25"/>
  <c r="Q50" i="25"/>
  <c r="AR50" i="25" s="1"/>
  <c r="P50" i="25"/>
  <c r="L50" i="25"/>
  <c r="K50" i="25"/>
  <c r="AD50" i="25" s="1"/>
  <c r="I50" i="25"/>
  <c r="AI50" i="25" s="1"/>
  <c r="AS50" i="25" s="1"/>
  <c r="BF49" i="25"/>
  <c r="BA49" i="25"/>
  <c r="AZ49" i="25"/>
  <c r="AY49" i="25" s="1"/>
  <c r="AL49" i="25"/>
  <c r="AK49" i="25" s="1"/>
  <c r="AH49" i="25"/>
  <c r="AD49" i="25"/>
  <c r="AC49" i="25"/>
  <c r="AA49" i="25"/>
  <c r="Y49" i="25"/>
  <c r="W49" i="25"/>
  <c r="V49" i="25"/>
  <c r="U49" i="25"/>
  <c r="S49" i="25"/>
  <c r="R49" i="25"/>
  <c r="Q49" i="25"/>
  <c r="P49" i="25"/>
  <c r="L49" i="25"/>
  <c r="K49" i="25"/>
  <c r="I49" i="25"/>
  <c r="AJ49" i="25" s="1"/>
  <c r="BF48" i="25"/>
  <c r="AZ48" i="25"/>
  <c r="AY48" i="25" s="1"/>
  <c r="AL48" i="25"/>
  <c r="AK48" i="25"/>
  <c r="AJ48" i="25"/>
  <c r="AI48" i="25"/>
  <c r="AC48" i="25"/>
  <c r="Y48" i="25"/>
  <c r="W48" i="25"/>
  <c r="V48" i="25"/>
  <c r="U48" i="25" s="1"/>
  <c r="S48" i="25"/>
  <c r="R48" i="25"/>
  <c r="Q48" i="25"/>
  <c r="AV48" i="25" s="1"/>
  <c r="P48" i="25"/>
  <c r="L48" i="25"/>
  <c r="K48" i="25"/>
  <c r="AD48" i="25" s="1"/>
  <c r="I48" i="25"/>
  <c r="BA48" i="25" s="1"/>
  <c r="BF47" i="25"/>
  <c r="AZ47" i="25"/>
  <c r="AL47" i="25"/>
  <c r="AK47" i="25"/>
  <c r="AK132" i="25" s="1"/>
  <c r="AH47" i="25"/>
  <c r="AD47" i="25"/>
  <c r="AA47" i="25"/>
  <c r="Y47" i="25"/>
  <c r="W47" i="25"/>
  <c r="V47" i="25"/>
  <c r="U47" i="25"/>
  <c r="S47" i="25"/>
  <c r="R47" i="25"/>
  <c r="Q47" i="25"/>
  <c r="L47" i="25"/>
  <c r="K47" i="25"/>
  <c r="I47" i="25"/>
  <c r="BA47" i="25" s="1"/>
  <c r="BA132" i="25" s="1"/>
  <c r="BF46" i="25"/>
  <c r="BA46" i="25"/>
  <c r="BA131" i="25" s="1"/>
  <c r="AZ46" i="25"/>
  <c r="AZ131" i="25" s="1"/>
  <c r="AY46" i="25"/>
  <c r="AW46" i="25"/>
  <c r="AL46" i="25"/>
  <c r="AL131" i="25" s="1"/>
  <c r="AK46" i="25"/>
  <c r="AK131" i="25" s="1"/>
  <c r="AJ46" i="25"/>
  <c r="AH46" i="25"/>
  <c r="AD46" i="25"/>
  <c r="Y46" i="25"/>
  <c r="W46" i="25"/>
  <c r="V46" i="25"/>
  <c r="U46" i="25"/>
  <c r="S46" i="25"/>
  <c r="R46" i="25"/>
  <c r="Q46" i="25"/>
  <c r="AV46" i="25" s="1"/>
  <c r="AV131" i="25" s="1"/>
  <c r="L46" i="25"/>
  <c r="K46" i="25"/>
  <c r="I46" i="25"/>
  <c r="AI46" i="25" s="1"/>
  <c r="BF45" i="25"/>
  <c r="AZ45" i="25"/>
  <c r="AL45" i="25"/>
  <c r="AK45" i="25"/>
  <c r="AH45" i="25" s="1"/>
  <c r="AJ45" i="25"/>
  <c r="Y45" i="25"/>
  <c r="W45" i="25"/>
  <c r="V45" i="25"/>
  <c r="U45" i="25"/>
  <c r="S45" i="25"/>
  <c r="R45" i="25"/>
  <c r="Q45" i="25"/>
  <c r="AS45" i="25" s="1"/>
  <c r="AU45" i="25" s="1"/>
  <c r="L45" i="25"/>
  <c r="K45" i="25"/>
  <c r="AD45" i="25" s="1"/>
  <c r="I45" i="25"/>
  <c r="AI45" i="25" s="1"/>
  <c r="BF44" i="25"/>
  <c r="BA44" i="25"/>
  <c r="AZ44" i="25"/>
  <c r="AY44" i="25"/>
  <c r="AL44" i="25"/>
  <c r="AK44" i="25"/>
  <c r="AH44" i="25" s="1"/>
  <c r="AJ44" i="25"/>
  <c r="AD44" i="25"/>
  <c r="AA44" i="25"/>
  <c r="Y44" i="25"/>
  <c r="W44" i="25"/>
  <c r="V44" i="25"/>
  <c r="U44" i="25" s="1"/>
  <c r="S44" i="25"/>
  <c r="R44" i="25"/>
  <c r="Q44" i="25"/>
  <c r="AW44" i="25" s="1"/>
  <c r="P44" i="25"/>
  <c r="L44" i="25"/>
  <c r="K44" i="25"/>
  <c r="I44" i="25"/>
  <c r="AI44" i="25" s="1"/>
  <c r="AR44" i="25" s="1"/>
  <c r="BF43" i="25"/>
  <c r="AZ43" i="25"/>
  <c r="AL43" i="25"/>
  <c r="AK43" i="25"/>
  <c r="AA43" i="25"/>
  <c r="Y43" i="25"/>
  <c r="W43" i="25"/>
  <c r="V43" i="25"/>
  <c r="U43" i="25" s="1"/>
  <c r="S43" i="25"/>
  <c r="R43" i="25"/>
  <c r="Q43" i="25"/>
  <c r="L43" i="25"/>
  <c r="K43" i="25"/>
  <c r="AD43" i="25" s="1"/>
  <c r="I43" i="25"/>
  <c r="BF42" i="25"/>
  <c r="BA42" i="25"/>
  <c r="AZ42" i="25"/>
  <c r="AY42" i="25"/>
  <c r="AS42" i="25"/>
  <c r="AU42" i="25" s="1"/>
  <c r="AL42" i="25"/>
  <c r="AJ42" i="25"/>
  <c r="AW42" i="25" s="1"/>
  <c r="AD42" i="25"/>
  <c r="AA42" i="25"/>
  <c r="Y42" i="25"/>
  <c r="W42" i="25"/>
  <c r="V42" i="25"/>
  <c r="U42" i="25"/>
  <c r="S42" i="25"/>
  <c r="R42" i="25"/>
  <c r="Q42" i="25"/>
  <c r="P42" i="25"/>
  <c r="L42" i="25"/>
  <c r="K42" i="25"/>
  <c r="I42" i="25"/>
  <c r="AI42" i="25" s="1"/>
  <c r="BF41" i="25"/>
  <c r="BA41" i="25"/>
  <c r="AZ41" i="25"/>
  <c r="AY41" i="25"/>
  <c r="AW41" i="25"/>
  <c r="AG41" i="25" s="1"/>
  <c r="AU41" i="25"/>
  <c r="AS41" i="25"/>
  <c r="AL41" i="25"/>
  <c r="AK41" i="25"/>
  <c r="AI41" i="25"/>
  <c r="AH41" i="25"/>
  <c r="AD41" i="25"/>
  <c r="Y41" i="25"/>
  <c r="W41" i="25"/>
  <c r="V41" i="25"/>
  <c r="U41" i="25" s="1"/>
  <c r="S41" i="25"/>
  <c r="R41" i="25"/>
  <c r="Q41" i="25"/>
  <c r="P41" i="25"/>
  <c r="L41" i="25"/>
  <c r="K41" i="25"/>
  <c r="I41" i="25"/>
  <c r="AJ41" i="25" s="1"/>
  <c r="BF40" i="25"/>
  <c r="BA40" i="25"/>
  <c r="AZ40" i="25"/>
  <c r="AY40" i="25"/>
  <c r="AL40" i="25"/>
  <c r="AL130" i="25" s="1"/>
  <c r="AK40" i="25"/>
  <c r="AI40" i="25"/>
  <c r="AS40" i="25" s="1"/>
  <c r="AH40" i="25"/>
  <c r="AD40" i="25"/>
  <c r="AA40" i="25"/>
  <c r="Y40" i="25"/>
  <c r="W40" i="25"/>
  <c r="V40" i="25"/>
  <c r="U40" i="25"/>
  <c r="S40" i="25"/>
  <c r="R40" i="25"/>
  <c r="Q40" i="25"/>
  <c r="P40" i="25"/>
  <c r="L40" i="25"/>
  <c r="K40" i="25"/>
  <c r="I40" i="25"/>
  <c r="BF39" i="25"/>
  <c r="AZ39" i="25"/>
  <c r="AY39" i="25"/>
  <c r="AL39" i="25"/>
  <c r="AK39" i="25"/>
  <c r="AH39" i="25" s="1"/>
  <c r="AD39" i="25"/>
  <c r="Y39" i="25"/>
  <c r="W39" i="25"/>
  <c r="V39" i="25"/>
  <c r="U39" i="25"/>
  <c r="S39" i="25"/>
  <c r="R39" i="25"/>
  <c r="Q39" i="25"/>
  <c r="P39" i="25"/>
  <c r="L39" i="25"/>
  <c r="K39" i="25"/>
  <c r="I39" i="25"/>
  <c r="BF38" i="25"/>
  <c r="AZ38" i="25"/>
  <c r="AL38" i="25"/>
  <c r="AK38" i="25"/>
  <c r="AJ38" i="25"/>
  <c r="AI38" i="25"/>
  <c r="AH38" i="25"/>
  <c r="Y38" i="25"/>
  <c r="W38" i="25"/>
  <c r="V38" i="25"/>
  <c r="U38" i="25"/>
  <c r="S38" i="25"/>
  <c r="R38" i="25"/>
  <c r="Q38" i="25"/>
  <c r="P38" i="25"/>
  <c r="L38" i="25"/>
  <c r="K38" i="25"/>
  <c r="AD38" i="25" s="1"/>
  <c r="I38" i="25"/>
  <c r="BA38" i="25" s="1"/>
  <c r="BF37" i="25"/>
  <c r="AZ37" i="25"/>
  <c r="AY37" i="25"/>
  <c r="AL37" i="25"/>
  <c r="AL129" i="25" s="1"/>
  <c r="AK37" i="25"/>
  <c r="AJ37" i="25"/>
  <c r="AI37" i="25"/>
  <c r="AH37" i="25"/>
  <c r="AD37" i="25"/>
  <c r="Y37" i="25"/>
  <c r="W37" i="25"/>
  <c r="V37" i="25"/>
  <c r="U37" i="25"/>
  <c r="S37" i="25"/>
  <c r="R37" i="25"/>
  <c r="Q37" i="25"/>
  <c r="L37" i="25"/>
  <c r="K37" i="25"/>
  <c r="I37" i="25"/>
  <c r="BA37" i="25" s="1"/>
  <c r="H36" i="25"/>
  <c r="AZ160" i="25"/>
  <c r="L35" i="25"/>
  <c r="K35" i="25"/>
  <c r="J35" i="25"/>
  <c r="I35" i="25"/>
  <c r="H35" i="25"/>
  <c r="BB34" i="25"/>
  <c r="AX34" i="25"/>
  <c r="AT34" i="25"/>
  <c r="AZ34" i="25" s="1"/>
  <c r="AQ34" i="25"/>
  <c r="AP34" i="25"/>
  <c r="AO34" i="25"/>
  <c r="AN34" i="25"/>
  <c r="AM34" i="25"/>
  <c r="AE34" i="25"/>
  <c r="H34" i="25"/>
  <c r="BF33" i="25"/>
  <c r="BA33" i="25"/>
  <c r="AZ33" i="25"/>
  <c r="AY33" i="25" s="1"/>
  <c r="AL33" i="25"/>
  <c r="AK33" i="25"/>
  <c r="AH33" i="25"/>
  <c r="AD33" i="25"/>
  <c r="AA33" i="25"/>
  <c r="Y33" i="25"/>
  <c r="W33" i="25"/>
  <c r="V33" i="25"/>
  <c r="U33" i="25"/>
  <c r="S33" i="25"/>
  <c r="R33" i="25"/>
  <c r="Q33" i="25"/>
  <c r="P33" i="25"/>
  <c r="L33" i="25"/>
  <c r="K33" i="25"/>
  <c r="I33" i="25"/>
  <c r="BF32" i="25"/>
  <c r="AZ32" i="25"/>
  <c r="AY32" i="25" s="1"/>
  <c r="AL32" i="25"/>
  <c r="AK32" i="25"/>
  <c r="Y32" i="25"/>
  <c r="W32" i="25"/>
  <c r="V32" i="25"/>
  <c r="U32" i="25"/>
  <c r="S32" i="25"/>
  <c r="R32" i="25"/>
  <c r="Q32" i="25"/>
  <c r="AA32" i="25" s="1"/>
  <c r="L32" i="25"/>
  <c r="K32" i="25"/>
  <c r="AD32" i="25" s="1"/>
  <c r="I32" i="25"/>
  <c r="BF31" i="25"/>
  <c r="BA31" i="25"/>
  <c r="AZ31" i="25"/>
  <c r="AY31" i="25"/>
  <c r="AL31" i="25"/>
  <c r="AK31" i="25"/>
  <c r="AJ31" i="25"/>
  <c r="AD31" i="25"/>
  <c r="AA31" i="25"/>
  <c r="Y31" i="25"/>
  <c r="W31" i="25"/>
  <c r="V31" i="25"/>
  <c r="U31" i="25"/>
  <c r="S31" i="25"/>
  <c r="R31" i="25"/>
  <c r="Q31" i="25"/>
  <c r="AW31" i="25" s="1"/>
  <c r="P31" i="25"/>
  <c r="L31" i="25"/>
  <c r="K31" i="25"/>
  <c r="I31" i="25"/>
  <c r="AI31" i="25" s="1"/>
  <c r="AS31" i="25" s="1"/>
  <c r="BF30" i="25"/>
  <c r="BA30" i="25"/>
  <c r="AZ30" i="25"/>
  <c r="AY30" i="25"/>
  <c r="AL30" i="25"/>
  <c r="AK30" i="25"/>
  <c r="AH30" i="25"/>
  <c r="AB30" i="25"/>
  <c r="AA30" i="25"/>
  <c r="Y30" i="25"/>
  <c r="W30" i="25"/>
  <c r="V30" i="25"/>
  <c r="U30" i="25"/>
  <c r="S30" i="25"/>
  <c r="R30" i="25"/>
  <c r="Q30" i="25"/>
  <c r="P30" i="25"/>
  <c r="L30" i="25"/>
  <c r="K30" i="25"/>
  <c r="AD30" i="25" s="1"/>
  <c r="I30" i="25"/>
  <c r="AI30" i="25" s="1"/>
  <c r="BF29" i="25"/>
  <c r="BA29" i="25"/>
  <c r="BA127" i="25" s="1"/>
  <c r="AZ29" i="25"/>
  <c r="AY29" i="25" s="1"/>
  <c r="AR29" i="25"/>
  <c r="AR127" i="25" s="1"/>
  <c r="AL29" i="25"/>
  <c r="AL127" i="25" s="1"/>
  <c r="AK29" i="25"/>
  <c r="AI29" i="25"/>
  <c r="Y29" i="25"/>
  <c r="W29" i="25"/>
  <c r="V29" i="25"/>
  <c r="U29" i="25" s="1"/>
  <c r="S29" i="25"/>
  <c r="R29" i="25"/>
  <c r="Q29" i="25"/>
  <c r="L29" i="25"/>
  <c r="K29" i="25"/>
  <c r="AD29" i="25" s="1"/>
  <c r="I29" i="25"/>
  <c r="AJ29" i="25" s="1"/>
  <c r="BF28" i="25"/>
  <c r="BA28" i="25"/>
  <c r="AZ28" i="25"/>
  <c r="AY28" i="25"/>
  <c r="AW28" i="25"/>
  <c r="AV28" i="25"/>
  <c r="AR28" i="25"/>
  <c r="AL28" i="25"/>
  <c r="AK28" i="25"/>
  <c r="AJ28" i="25"/>
  <c r="AH28" i="25"/>
  <c r="AG28" i="25"/>
  <c r="AF28" i="25"/>
  <c r="AD28" i="25"/>
  <c r="AA28" i="25"/>
  <c r="Y28" i="25"/>
  <c r="W28" i="25"/>
  <c r="V28" i="25"/>
  <c r="U28" i="25"/>
  <c r="S28" i="25"/>
  <c r="R28" i="25"/>
  <c r="Q28" i="25"/>
  <c r="AS28" i="25" s="1"/>
  <c r="AU28" i="25" s="1"/>
  <c r="P28" i="25"/>
  <c r="L28" i="25"/>
  <c r="K28" i="25"/>
  <c r="I28" i="25"/>
  <c r="AI28" i="25" s="1"/>
  <c r="BF27" i="25"/>
  <c r="BA27" i="25"/>
  <c r="AZ27" i="25"/>
  <c r="AY27" i="25"/>
  <c r="AW27" i="25"/>
  <c r="AL27" i="25"/>
  <c r="AK27" i="25" s="1"/>
  <c r="AI27" i="25"/>
  <c r="AS27" i="25" s="1"/>
  <c r="AU27" i="25" s="1"/>
  <c r="AH27" i="25"/>
  <c r="AD27" i="25"/>
  <c r="AA27" i="25"/>
  <c r="Y27" i="25"/>
  <c r="W27" i="25"/>
  <c r="V27" i="25"/>
  <c r="U27" i="25"/>
  <c r="S27" i="25"/>
  <c r="R27" i="25"/>
  <c r="Q27" i="25"/>
  <c r="P27" i="25"/>
  <c r="L27" i="25"/>
  <c r="K27" i="25"/>
  <c r="I27" i="25"/>
  <c r="AJ27" i="25" s="1"/>
  <c r="BF26" i="25"/>
  <c r="AZ26" i="25"/>
  <c r="AL26" i="25"/>
  <c r="AK26" i="25"/>
  <c r="AH26" i="25" s="1"/>
  <c r="Y26" i="25"/>
  <c r="W26" i="25"/>
  <c r="V26" i="25"/>
  <c r="U26" i="25" s="1"/>
  <c r="S26" i="25"/>
  <c r="R26" i="25"/>
  <c r="Q26" i="25"/>
  <c r="P26" i="25"/>
  <c r="L26" i="25"/>
  <c r="K26" i="25"/>
  <c r="AD26" i="25" s="1"/>
  <c r="I26" i="25"/>
  <c r="BF25" i="25"/>
  <c r="AZ25" i="25"/>
  <c r="AL25" i="25"/>
  <c r="AL126" i="25" s="1"/>
  <c r="AD25" i="25"/>
  <c r="AA25" i="25"/>
  <c r="Y25" i="25"/>
  <c r="W25" i="25"/>
  <c r="V25" i="25"/>
  <c r="U25" i="25" s="1"/>
  <c r="S25" i="25"/>
  <c r="R25" i="25"/>
  <c r="Q25" i="25"/>
  <c r="P25" i="25"/>
  <c r="L25" i="25"/>
  <c r="K25" i="25"/>
  <c r="I25" i="25"/>
  <c r="BA25" i="25" s="1"/>
  <c r="BF24" i="25"/>
  <c r="BA24" i="25"/>
  <c r="BA125" i="25" s="1"/>
  <c r="AZ24" i="25"/>
  <c r="AZ125" i="25" s="1"/>
  <c r="AY24" i="25"/>
  <c r="AL24" i="25"/>
  <c r="AL125" i="25" s="1"/>
  <c r="AK24" i="25"/>
  <c r="AK125" i="25" s="1"/>
  <c r="AH24" i="25"/>
  <c r="AD24" i="25"/>
  <c r="AA24" i="25"/>
  <c r="Y24" i="25"/>
  <c r="W24" i="25"/>
  <c r="V24" i="25"/>
  <c r="U24" i="25"/>
  <c r="S24" i="25"/>
  <c r="R24" i="25"/>
  <c r="Q24" i="25"/>
  <c r="P24" i="25"/>
  <c r="L24" i="25"/>
  <c r="K24" i="25"/>
  <c r="I24" i="25"/>
  <c r="BF23" i="25"/>
  <c r="AZ23" i="25"/>
  <c r="AY23" i="25" s="1"/>
  <c r="AL23" i="25"/>
  <c r="AK23" i="25" s="1"/>
  <c r="AI23" i="25"/>
  <c r="Y23" i="25"/>
  <c r="W23" i="25"/>
  <c r="V23" i="25"/>
  <c r="U23" i="25" s="1"/>
  <c r="S23" i="25"/>
  <c r="R23" i="25"/>
  <c r="Q23" i="25"/>
  <c r="P23" i="25"/>
  <c r="J23" i="25"/>
  <c r="I23" i="25"/>
  <c r="AR23" i="25" s="1"/>
  <c r="BF22" i="25"/>
  <c r="AZ22" i="25"/>
  <c r="AZ124" i="25" s="1"/>
  <c r="AY124" i="25" s="1"/>
  <c r="AL22" i="25"/>
  <c r="AK22" i="25" s="1"/>
  <c r="AJ22" i="25"/>
  <c r="AI22" i="25"/>
  <c r="AD22" i="25"/>
  <c r="Y22" i="25"/>
  <c r="W22" i="25"/>
  <c r="S22" i="25"/>
  <c r="R22" i="25"/>
  <c r="Q22" i="25"/>
  <c r="AA22" i="25" s="1"/>
  <c r="P22" i="25"/>
  <c r="L22" i="25"/>
  <c r="K22" i="25"/>
  <c r="I22" i="25"/>
  <c r="AY22" i="25" s="1"/>
  <c r="BF21" i="25"/>
  <c r="BA21" i="25"/>
  <c r="AZ21" i="25"/>
  <c r="AY21" i="25"/>
  <c r="AV21" i="25"/>
  <c r="AL21" i="25"/>
  <c r="AK21" i="25"/>
  <c r="AH21" i="25"/>
  <c r="AA21" i="25"/>
  <c r="Y21" i="25"/>
  <c r="W21" i="25"/>
  <c r="V21" i="25"/>
  <c r="U21" i="25"/>
  <c r="S21" i="25"/>
  <c r="R21" i="25"/>
  <c r="Q21" i="25"/>
  <c r="P21" i="25"/>
  <c r="L21" i="25"/>
  <c r="K21" i="25"/>
  <c r="AD21" i="25" s="1"/>
  <c r="I21" i="25"/>
  <c r="AJ21" i="25" s="1"/>
  <c r="AW21" i="25" s="1"/>
  <c r="BF20" i="25"/>
  <c r="BA20" i="25"/>
  <c r="AZ20" i="25"/>
  <c r="AY20" i="25" s="1"/>
  <c r="AL20" i="25"/>
  <c r="AK20" i="25" s="1"/>
  <c r="AH20" i="25" s="1"/>
  <c r="AI20" i="25"/>
  <c r="AD20" i="25"/>
  <c r="Y20" i="25"/>
  <c r="W20" i="25"/>
  <c r="V20" i="25"/>
  <c r="U20" i="25" s="1"/>
  <c r="S20" i="25"/>
  <c r="R20" i="25"/>
  <c r="Q20" i="25"/>
  <c r="P20" i="25"/>
  <c r="L20" i="25"/>
  <c r="K20" i="25"/>
  <c r="I20" i="25"/>
  <c r="AJ20" i="25" s="1"/>
  <c r="BF19" i="25"/>
  <c r="AZ19" i="25"/>
  <c r="AL19" i="25"/>
  <c r="AK19" i="25"/>
  <c r="AI19" i="25"/>
  <c r="AH19" i="25"/>
  <c r="AA19" i="25"/>
  <c r="Y19" i="25"/>
  <c r="W19" i="25"/>
  <c r="V19" i="25"/>
  <c r="U19" i="25"/>
  <c r="S19" i="25"/>
  <c r="R19" i="25"/>
  <c r="Q19" i="25"/>
  <c r="P19" i="25"/>
  <c r="L19" i="25"/>
  <c r="K19" i="25"/>
  <c r="AD19" i="25" s="1"/>
  <c r="I19" i="25"/>
  <c r="BF18" i="25"/>
  <c r="BA18" i="25"/>
  <c r="AZ18" i="25"/>
  <c r="AL18" i="25"/>
  <c r="AK18" i="25" s="1"/>
  <c r="AD18" i="25"/>
  <c r="AA18" i="25"/>
  <c r="Y18" i="25"/>
  <c r="W18" i="25"/>
  <c r="V18" i="25"/>
  <c r="U18" i="25"/>
  <c r="S18" i="25"/>
  <c r="R18" i="25"/>
  <c r="Q18" i="25"/>
  <c r="AW18" i="25" s="1"/>
  <c r="P18" i="25"/>
  <c r="L18" i="25"/>
  <c r="K18" i="25"/>
  <c r="I18" i="25"/>
  <c r="AJ18" i="25" s="1"/>
  <c r="BF17" i="25"/>
  <c r="BA17" i="25"/>
  <c r="AZ17" i="25"/>
  <c r="AY17" i="25"/>
  <c r="AL17" i="25"/>
  <c r="AK17" i="25"/>
  <c r="AI17" i="25"/>
  <c r="AH17" i="25"/>
  <c r="AD17" i="25"/>
  <c r="AA17" i="25"/>
  <c r="Y17" i="25"/>
  <c r="W17" i="25"/>
  <c r="V17" i="25"/>
  <c r="U17" i="25"/>
  <c r="S17" i="25"/>
  <c r="R17" i="25"/>
  <c r="Q17" i="25"/>
  <c r="AS17" i="25" s="1"/>
  <c r="AU17" i="25" s="1"/>
  <c r="P17" i="25"/>
  <c r="L17" i="25"/>
  <c r="K17" i="25"/>
  <c r="I17" i="25"/>
  <c r="AR17" i="25" s="1"/>
  <c r="BF16" i="25"/>
  <c r="AZ16" i="25"/>
  <c r="AZ123" i="25" s="1"/>
  <c r="AR16" i="25"/>
  <c r="AL16" i="25"/>
  <c r="AL123" i="25" s="1"/>
  <c r="AK16" i="25"/>
  <c r="AI16" i="25"/>
  <c r="Y16" i="25"/>
  <c r="W16" i="25"/>
  <c r="V16" i="25"/>
  <c r="U16" i="25"/>
  <c r="S16" i="25"/>
  <c r="R16" i="25"/>
  <c r="Q16" i="25"/>
  <c r="AA16" i="25" s="1"/>
  <c r="P16" i="25"/>
  <c r="L16" i="25"/>
  <c r="K16" i="25"/>
  <c r="AD16" i="25" s="1"/>
  <c r="I16" i="25"/>
  <c r="BA16" i="25" s="1"/>
  <c r="BF15" i="25"/>
  <c r="AZ15" i="25"/>
  <c r="AL15" i="25"/>
  <c r="AK15" i="25" s="1"/>
  <c r="AH15" i="25"/>
  <c r="Y15" i="25"/>
  <c r="W15" i="25"/>
  <c r="V15" i="25"/>
  <c r="U15" i="25"/>
  <c r="S15" i="25"/>
  <c r="R15" i="25"/>
  <c r="Q15" i="25"/>
  <c r="P15" i="25"/>
  <c r="L15" i="25"/>
  <c r="K15" i="25"/>
  <c r="AD15" i="25" s="1"/>
  <c r="I15" i="25"/>
  <c r="BA15" i="25" s="1"/>
  <c r="BF14" i="25"/>
  <c r="BA14" i="25"/>
  <c r="AZ14" i="25"/>
  <c r="AL14" i="25"/>
  <c r="AK14" i="25"/>
  <c r="AJ14" i="25"/>
  <c r="AH14" i="25"/>
  <c r="AD14" i="25"/>
  <c r="AA14" i="25"/>
  <c r="Y14" i="25"/>
  <c r="W14" i="25"/>
  <c r="V14" i="25"/>
  <c r="U14" i="25"/>
  <c r="S14" i="25"/>
  <c r="R14" i="25"/>
  <c r="Q14" i="25"/>
  <c r="P14" i="25"/>
  <c r="L14" i="25"/>
  <c r="K14" i="25"/>
  <c r="I14" i="25"/>
  <c r="AI14" i="25" s="1"/>
  <c r="BF13" i="25"/>
  <c r="AZ13" i="25"/>
  <c r="AY13" i="25"/>
  <c r="AL13" i="25"/>
  <c r="AK13" i="25" s="1"/>
  <c r="AH13" i="25"/>
  <c r="AD13" i="25"/>
  <c r="AA13" i="25"/>
  <c r="Y13" i="25"/>
  <c r="W13" i="25"/>
  <c r="V13" i="25"/>
  <c r="U13" i="25"/>
  <c r="S13" i="25"/>
  <c r="R13" i="25"/>
  <c r="Q13" i="25"/>
  <c r="P13" i="25"/>
  <c r="L13" i="25"/>
  <c r="K13" i="25"/>
  <c r="I13" i="25"/>
  <c r="N28" i="26" l="1"/>
  <c r="P28" i="26"/>
  <c r="AI151" i="25"/>
  <c r="N16" i="26"/>
  <c r="N74" i="26"/>
  <c r="F36" i="26"/>
  <c r="O57" i="26"/>
  <c r="H36" i="26"/>
  <c r="P26" i="26"/>
  <c r="N55" i="26"/>
  <c r="L96" i="26"/>
  <c r="P55" i="26"/>
  <c r="L36" i="26"/>
  <c r="L97" i="26" s="1"/>
  <c r="M96" i="26"/>
  <c r="M36" i="26"/>
  <c r="P32" i="26"/>
  <c r="O36" i="26"/>
  <c r="J57" i="26"/>
  <c r="O96" i="26"/>
  <c r="O97" i="26" s="1"/>
  <c r="H96" i="26"/>
  <c r="J96" i="26"/>
  <c r="J36" i="26"/>
  <c r="L57" i="26"/>
  <c r="G97" i="26"/>
  <c r="P18" i="26"/>
  <c r="M57" i="26"/>
  <c r="N62" i="26"/>
  <c r="N72" i="26"/>
  <c r="P92" i="26"/>
  <c r="K97" i="26"/>
  <c r="P62" i="26"/>
  <c r="P72" i="26"/>
  <c r="AI154" i="25"/>
  <c r="AJ154" i="25"/>
  <c r="L106" i="25"/>
  <c r="AI143" i="25"/>
  <c r="AI155" i="25"/>
  <c r="AH154" i="25"/>
  <c r="AY123" i="25"/>
  <c r="M136" i="25"/>
  <c r="M145" i="25"/>
  <c r="M149" i="25"/>
  <c r="M126" i="25"/>
  <c r="AY159" i="25"/>
  <c r="AI159" i="25"/>
  <c r="M142" i="25"/>
  <c r="AM161" i="25"/>
  <c r="M137" i="25"/>
  <c r="AJ159" i="25"/>
  <c r="AY136" i="25"/>
  <c r="AJ136" i="25"/>
  <c r="M158" i="25"/>
  <c r="K129" i="25"/>
  <c r="M134" i="25"/>
  <c r="M148" i="25"/>
  <c r="AJ152" i="25"/>
  <c r="AY152" i="25"/>
  <c r="K159" i="25"/>
  <c r="AH136" i="25"/>
  <c r="M128" i="25"/>
  <c r="K143" i="25"/>
  <c r="M151" i="25"/>
  <c r="F97" i="26"/>
  <c r="H97" i="26"/>
  <c r="N57" i="26"/>
  <c r="N12" i="26"/>
  <c r="N18" i="26"/>
  <c r="P43" i="26"/>
  <c r="F57" i="26"/>
  <c r="N58" i="26"/>
  <c r="P12" i="26"/>
  <c r="P58" i="26"/>
  <c r="AW26" i="25"/>
  <c r="AV70" i="25"/>
  <c r="AS70" i="25"/>
  <c r="AU70" i="25" s="1"/>
  <c r="P70" i="25"/>
  <c r="AR70" i="25"/>
  <c r="AA70" i="25"/>
  <c r="AU40" i="25"/>
  <c r="AU130" i="25" s="1"/>
  <c r="AS130" i="25"/>
  <c r="AH23" i="25"/>
  <c r="AJ43" i="25"/>
  <c r="AW43" i="25" s="1"/>
  <c r="AI43" i="25"/>
  <c r="AR43" i="25" s="1"/>
  <c r="AF43" i="25" s="1"/>
  <c r="AY43" i="25"/>
  <c r="BA43" i="25"/>
  <c r="AS142" i="25"/>
  <c r="AU74" i="25"/>
  <c r="AU142" i="25" s="1"/>
  <c r="AH96" i="25"/>
  <c r="AH97" i="25"/>
  <c r="AI126" i="25"/>
  <c r="AV20" i="25"/>
  <c r="AA20" i="25"/>
  <c r="AW20" i="25"/>
  <c r="AA39" i="25"/>
  <c r="AW71" i="25"/>
  <c r="P72" i="25"/>
  <c r="AS72" i="25"/>
  <c r="AU72" i="25" s="1"/>
  <c r="AA72" i="25"/>
  <c r="AF79" i="25"/>
  <c r="AI85" i="25"/>
  <c r="AS85" i="25" s="1"/>
  <c r="AU85" i="25" s="1"/>
  <c r="AJ85" i="25"/>
  <c r="AV85" i="25" s="1"/>
  <c r="BA85" i="25"/>
  <c r="AY85" i="25"/>
  <c r="AJ104" i="25"/>
  <c r="AW104" i="25" s="1"/>
  <c r="AI104" i="25"/>
  <c r="AS104" i="25" s="1"/>
  <c r="BA104" i="25"/>
  <c r="BA158" i="25" s="1"/>
  <c r="AH22" i="25"/>
  <c r="AK124" i="25"/>
  <c r="AH124" i="25" s="1"/>
  <c r="AK127" i="25"/>
  <c r="AH127" i="25" s="1"/>
  <c r="AH29" i="25"/>
  <c r="BA32" i="25"/>
  <c r="BA128" i="25" s="1"/>
  <c r="AJ32" i="25"/>
  <c r="AI32" i="25"/>
  <c r="AW32" i="25"/>
  <c r="AV32" i="25"/>
  <c r="AW131" i="25"/>
  <c r="AS81" i="25"/>
  <c r="AD85" i="25"/>
  <c r="AK150" i="25"/>
  <c r="AH94" i="25"/>
  <c r="AH95" i="25"/>
  <c r="AK135" i="25"/>
  <c r="AH52" i="25"/>
  <c r="AZ137" i="25"/>
  <c r="AY62" i="25"/>
  <c r="AK138" i="25"/>
  <c r="AH66" i="25"/>
  <c r="AV97" i="25"/>
  <c r="AI97" i="25"/>
  <c r="AS97" i="25" s="1"/>
  <c r="AU97" i="25" s="1"/>
  <c r="BA97" i="25"/>
  <c r="BA133" i="25" s="1"/>
  <c r="AY97" i="25"/>
  <c r="AW97" i="25"/>
  <c r="AH100" i="25"/>
  <c r="AW155" i="25"/>
  <c r="AU50" i="25"/>
  <c r="AL105" i="25"/>
  <c r="AW140" i="25"/>
  <c r="BA75" i="25"/>
  <c r="BA143" i="25" s="1"/>
  <c r="AJ75" i="25"/>
  <c r="AV75" i="25" s="1"/>
  <c r="AV143" i="25" s="1"/>
  <c r="AI75" i="25"/>
  <c r="AR75" i="25" s="1"/>
  <c r="AS75" i="25"/>
  <c r="AW75" i="25"/>
  <c r="I125" i="25"/>
  <c r="AK123" i="25"/>
  <c r="AH123" i="25" s="1"/>
  <c r="AH16" i="25"/>
  <c r="AJ23" i="25"/>
  <c r="BA23" i="25"/>
  <c r="AS23" i="25"/>
  <c r="AU23" i="25" s="1"/>
  <c r="AR46" i="25"/>
  <c r="AR131" i="25" s="1"/>
  <c r="P46" i="25"/>
  <c r="AS46" i="25"/>
  <c r="AG46" i="25" s="1"/>
  <c r="AF46" i="25"/>
  <c r="AA46" i="25"/>
  <c r="AF52" i="25"/>
  <c r="AY77" i="25"/>
  <c r="AX161" i="25"/>
  <c r="AG31" i="25"/>
  <c r="AU31" i="25"/>
  <c r="AK143" i="25"/>
  <c r="AH143" i="25" s="1"/>
  <c r="AH75" i="25"/>
  <c r="AK146" i="25"/>
  <c r="AH83" i="25"/>
  <c r="K36" i="25"/>
  <c r="K34" i="25" s="1"/>
  <c r="AD34" i="25" s="1"/>
  <c r="AF84" i="25"/>
  <c r="H150" i="25"/>
  <c r="I94" i="25"/>
  <c r="I107" i="25" s="1"/>
  <c r="H107" i="25"/>
  <c r="S94" i="25"/>
  <c r="S108" i="25" s="1"/>
  <c r="K6" i="25" s="1"/>
  <c r="AY100" i="25"/>
  <c r="M122" i="25"/>
  <c r="AY14" i="25"/>
  <c r="AZ122" i="25"/>
  <c r="AL148" i="25"/>
  <c r="AK88" i="25"/>
  <c r="M130" i="25"/>
  <c r="I130" i="25"/>
  <c r="AJ66" i="25"/>
  <c r="BA66" i="25"/>
  <c r="AI66" i="25"/>
  <c r="AS66" i="25" s="1"/>
  <c r="AY66" i="25"/>
  <c r="L94" i="25"/>
  <c r="AH32" i="25"/>
  <c r="AF32" i="25"/>
  <c r="AS145" i="25"/>
  <c r="AU82" i="25"/>
  <c r="AU145" i="25" s="1"/>
  <c r="I122" i="25"/>
  <c r="AJ122" i="25" s="1"/>
  <c r="AW73" i="25"/>
  <c r="AV73" i="25"/>
  <c r="AH18" i="25"/>
  <c r="K23" i="25"/>
  <c r="AD23" i="25" s="1"/>
  <c r="J123" i="25"/>
  <c r="J36" i="25"/>
  <c r="AK133" i="25"/>
  <c r="AH48" i="25"/>
  <c r="BA100" i="25"/>
  <c r="AR100" i="25"/>
  <c r="AF100" i="25" s="1"/>
  <c r="AW100" i="25"/>
  <c r="AG100" i="25" s="1"/>
  <c r="AV100" i="25"/>
  <c r="AZ129" i="25"/>
  <c r="AY129" i="25" s="1"/>
  <c r="AZ63" i="25"/>
  <c r="AS62" i="25"/>
  <c r="P62" i="25"/>
  <c r="AR62" i="25"/>
  <c r="AR137" i="25" s="1"/>
  <c r="AA62" i="25"/>
  <c r="AW62" i="25"/>
  <c r="AV62" i="25"/>
  <c r="AV137" i="25" s="1"/>
  <c r="K65" i="25"/>
  <c r="K63" i="25" s="1"/>
  <c r="AD63" i="25" s="1"/>
  <c r="BA19" i="25"/>
  <c r="AY19" i="25"/>
  <c r="AJ19" i="25"/>
  <c r="AW19" i="25" s="1"/>
  <c r="AG19" i="25" s="1"/>
  <c r="AV19" i="25"/>
  <c r="AF19" i="25" s="1"/>
  <c r="AS19" i="25"/>
  <c r="AU19" i="25" s="1"/>
  <c r="AR20" i="25"/>
  <c r="AF20" i="25" s="1"/>
  <c r="AJ26" i="25"/>
  <c r="AI26" i="25"/>
  <c r="AR26" i="25" s="1"/>
  <c r="BA26" i="25"/>
  <c r="AY26" i="25"/>
  <c r="AV41" i="25"/>
  <c r="AA41" i="25"/>
  <c r="AR41" i="25"/>
  <c r="AF41" i="25" s="1"/>
  <c r="AL63" i="25"/>
  <c r="AH43" i="25"/>
  <c r="AW70" i="25"/>
  <c r="AK158" i="25"/>
  <c r="AH104" i="25"/>
  <c r="AI127" i="25"/>
  <c r="AS152" i="25"/>
  <c r="AU76" i="25"/>
  <c r="AU152" i="25" s="1"/>
  <c r="BA123" i="25"/>
  <c r="L23" i="25"/>
  <c r="BA139" i="25"/>
  <c r="AF23" i="25"/>
  <c r="AG27" i="25"/>
  <c r="AK63" i="25"/>
  <c r="AH63" i="25" s="1"/>
  <c r="AG42" i="25"/>
  <c r="AV55" i="25"/>
  <c r="AV136" i="25" s="1"/>
  <c r="AS20" i="25"/>
  <c r="AU20" i="25" s="1"/>
  <c r="P29" i="25"/>
  <c r="AA29" i="25"/>
  <c r="AF29" i="25"/>
  <c r="AW29" i="25"/>
  <c r="AV29" i="25"/>
  <c r="AV127" i="25" s="1"/>
  <c r="AS29" i="25"/>
  <c r="AK145" i="25"/>
  <c r="AH82" i="25"/>
  <c r="AV93" i="25"/>
  <c r="AV160" i="25" s="1"/>
  <c r="P93" i="25"/>
  <c r="AA93" i="25"/>
  <c r="AW93" i="25"/>
  <c r="AW160" i="25" s="1"/>
  <c r="AV99" i="25"/>
  <c r="AA99" i="25"/>
  <c r="AR99" i="25"/>
  <c r="AF99" i="25" s="1"/>
  <c r="AW99" i="25"/>
  <c r="AG99" i="25" s="1"/>
  <c r="AS99" i="25"/>
  <c r="AU99" i="25" s="1"/>
  <c r="AY125" i="25"/>
  <c r="AL134" i="25"/>
  <c r="AS135" i="25"/>
  <c r="AU52" i="25"/>
  <c r="AU135" i="25" s="1"/>
  <c r="AW54" i="25"/>
  <c r="AG54" i="25" s="1"/>
  <c r="AV54" i="25"/>
  <c r="AR66" i="25"/>
  <c r="P66" i="25"/>
  <c r="AV66" i="25"/>
  <c r="AK141" i="25"/>
  <c r="AH69" i="25"/>
  <c r="AR82" i="25"/>
  <c r="AR145" i="25" s="1"/>
  <c r="P82" i="25"/>
  <c r="AW82" i="25"/>
  <c r="AV82" i="25"/>
  <c r="AV145" i="25" s="1"/>
  <c r="AY94" i="25"/>
  <c r="AZ150" i="25"/>
  <c r="AL124" i="25"/>
  <c r="BA13" i="25"/>
  <c r="AV23" i="25"/>
  <c r="AI25" i="25"/>
  <c r="AV26" i="25"/>
  <c r="I36" i="25"/>
  <c r="AV40" i="25"/>
  <c r="AJ40" i="25"/>
  <c r="AW40" i="25" s="1"/>
  <c r="AF44" i="25"/>
  <c r="AI47" i="25"/>
  <c r="AR47" i="25" s="1"/>
  <c r="AV52" i="25"/>
  <c r="AV135" i="25" s="1"/>
  <c r="AJ55" i="25"/>
  <c r="AW55" i="25" s="1"/>
  <c r="AI57" i="25"/>
  <c r="AS57" i="25" s="1"/>
  <c r="AU57" i="25" s="1"/>
  <c r="AR61" i="25"/>
  <c r="AF61" i="25" s="1"/>
  <c r="AW66" i="25"/>
  <c r="AR71" i="25"/>
  <c r="BA73" i="25"/>
  <c r="AI73" i="25"/>
  <c r="AA75" i="25"/>
  <c r="AK76" i="25"/>
  <c r="AK80" i="25"/>
  <c r="AH86" i="25"/>
  <c r="AK147" i="25"/>
  <c r="AH147" i="25" s="1"/>
  <c r="AW88" i="25"/>
  <c r="AV88" i="25"/>
  <c r="AV148" i="25" s="1"/>
  <c r="P88" i="25"/>
  <c r="AS88" i="25"/>
  <c r="I102" i="25"/>
  <c r="AH102" i="25" s="1"/>
  <c r="P104" i="25"/>
  <c r="AR104" i="25"/>
  <c r="AR158" i="25" s="1"/>
  <c r="AS48" i="25"/>
  <c r="AR48" i="25"/>
  <c r="AI18" i="25"/>
  <c r="AW23" i="25"/>
  <c r="AJ25" i="25"/>
  <c r="AV25" i="25" s="1"/>
  <c r="AK130" i="25"/>
  <c r="AH130" i="25" s="1"/>
  <c r="AJ47" i="25"/>
  <c r="AV47" i="25" s="1"/>
  <c r="AV132" i="25" s="1"/>
  <c r="AW48" i="25"/>
  <c r="AJ57" i="25"/>
  <c r="AV57" i="25" s="1"/>
  <c r="AS61" i="25"/>
  <c r="AU61" i="25" s="1"/>
  <c r="AR69" i="25"/>
  <c r="AS71" i="25"/>
  <c r="AU71" i="25" s="1"/>
  <c r="AS89" i="25"/>
  <c r="AI92" i="25"/>
  <c r="AK128" i="25"/>
  <c r="AH128" i="25" s="1"/>
  <c r="AH31" i="25"/>
  <c r="AR38" i="25"/>
  <c r="AR15" i="25"/>
  <c r="AF15" i="25" s="1"/>
  <c r="AY16" i="25"/>
  <c r="AR22" i="25"/>
  <c r="AK25" i="25"/>
  <c r="AL128" i="25"/>
  <c r="AI33" i="25"/>
  <c r="AR33" i="25" s="1"/>
  <c r="AF33" i="25" s="1"/>
  <c r="AW38" i="25"/>
  <c r="AG38" i="25" s="1"/>
  <c r="AS38" i="25"/>
  <c r="AU38" i="25" s="1"/>
  <c r="AK42" i="25"/>
  <c r="P45" i="25"/>
  <c r="AV45" i="25"/>
  <c r="AW50" i="25"/>
  <c r="AV50" i="25"/>
  <c r="AI51" i="25"/>
  <c r="AS51" i="25" s="1"/>
  <c r="AU51" i="25" s="1"/>
  <c r="AR59" i="25"/>
  <c r="P61" i="25"/>
  <c r="AV61" i="25"/>
  <c r="AK67" i="25"/>
  <c r="AK105" i="25" s="1"/>
  <c r="AS69" i="25"/>
  <c r="P71" i="25"/>
  <c r="BA76" i="25"/>
  <c r="BA152" i="25" s="1"/>
  <c r="AJ76" i="25"/>
  <c r="AR76" i="25"/>
  <c r="AR152" i="25" s="1"/>
  <c r="AY83" i="25"/>
  <c r="AI84" i="25"/>
  <c r="AS84" i="25" s="1"/>
  <c r="AR86" i="25"/>
  <c r="AR147" i="25" s="1"/>
  <c r="AI87" i="25"/>
  <c r="AJ92" i="25"/>
  <c r="AV92" i="25" s="1"/>
  <c r="BA95" i="25"/>
  <c r="AI95" i="25"/>
  <c r="AR95" i="25" s="1"/>
  <c r="AF95" i="25" s="1"/>
  <c r="AR98" i="25"/>
  <c r="L102" i="25"/>
  <c r="AJ123" i="25"/>
  <c r="AI15" i="25"/>
  <c r="AR19" i="25"/>
  <c r="AS22" i="25"/>
  <c r="AR31" i="25"/>
  <c r="AW45" i="25"/>
  <c r="AG45" i="25" s="1"/>
  <c r="AR55" i="25"/>
  <c r="AR136" i="25" s="1"/>
  <c r="AW61" i="25"/>
  <c r="AG61" i="25" s="1"/>
  <c r="P69" i="25"/>
  <c r="AV69" i="25"/>
  <c r="AV141" i="25" s="1"/>
  <c r="AV71" i="25"/>
  <c r="AA71" i="25"/>
  <c r="P78" i="25"/>
  <c r="AA78" i="25"/>
  <c r="AS78" i="25"/>
  <c r="AK81" i="25"/>
  <c r="BA83" i="25"/>
  <c r="BA146" i="25" s="1"/>
  <c r="AJ83" i="25"/>
  <c r="AW83" i="25" s="1"/>
  <c r="AI83" i="25"/>
  <c r="AR83" i="25" s="1"/>
  <c r="AR146" i="25" s="1"/>
  <c r="AS86" i="25"/>
  <c r="AY89" i="25"/>
  <c r="AZ149" i="25"/>
  <c r="AK93" i="25"/>
  <c r="P102" i="25"/>
  <c r="AV38" i="25"/>
  <c r="AW141" i="25"/>
  <c r="AG69" i="25"/>
  <c r="AK144" i="25"/>
  <c r="AH144" i="25" s="1"/>
  <c r="AH84" i="25"/>
  <c r="AY86" i="25"/>
  <c r="AZ147" i="25"/>
  <c r="AY147" i="25" s="1"/>
  <c r="AH87" i="25"/>
  <c r="AL122" i="25"/>
  <c r="I140" i="25"/>
  <c r="AL133" i="25"/>
  <c r="AJ15" i="25"/>
  <c r="AW15" i="25" s="1"/>
  <c r="AG15" i="25" s="1"/>
  <c r="BA126" i="25"/>
  <c r="AJ33" i="25"/>
  <c r="AW33" i="25" s="1"/>
  <c r="AI21" i="25"/>
  <c r="AR21" i="25" s="1"/>
  <c r="AF21" i="25" s="1"/>
  <c r="AR25" i="25"/>
  <c r="P47" i="25"/>
  <c r="AW47" i="25"/>
  <c r="AY38" i="25"/>
  <c r="AS47" i="25"/>
  <c r="AI49" i="25"/>
  <c r="BA134" i="25"/>
  <c r="AF58" i="25"/>
  <c r="AY59" i="25"/>
  <c r="AZ141" i="25"/>
  <c r="AL142" i="25"/>
  <c r="AK74" i="25"/>
  <c r="AV78" i="25"/>
  <c r="AV154" i="25" s="1"/>
  <c r="AA79" i="25"/>
  <c r="AW80" i="25"/>
  <c r="AV80" i="25"/>
  <c r="AV156" i="25" s="1"/>
  <c r="BA86" i="25"/>
  <c r="BA147" i="25" s="1"/>
  <c r="AA91" i="25"/>
  <c r="AW95" i="25"/>
  <c r="AH99" i="25"/>
  <c r="AA23" i="25"/>
  <c r="AV31" i="25"/>
  <c r="AZ130" i="25"/>
  <c r="AY130" i="25" s="1"/>
  <c r="AR42" i="25"/>
  <c r="AV42" i="25"/>
  <c r="BA45" i="25"/>
  <c r="BA130" i="25" s="1"/>
  <c r="AA48" i="25"/>
  <c r="BA53" i="25"/>
  <c r="AJ53" i="25"/>
  <c r="AW53" i="25" s="1"/>
  <c r="AG53" i="25" s="1"/>
  <c r="AA54" i="25"/>
  <c r="P55" i="25"/>
  <c r="AH137" i="25"/>
  <c r="AA66" i="25"/>
  <c r="AY67" i="25"/>
  <c r="BA141" i="25"/>
  <c r="AR74" i="25"/>
  <c r="AR142" i="25" s="1"/>
  <c r="AY76" i="25"/>
  <c r="AW78" i="25"/>
  <c r="AA82" i="25"/>
  <c r="P83" i="25"/>
  <c r="AA83" i="25"/>
  <c r="AR84" i="25"/>
  <c r="AR144" i="25" s="1"/>
  <c r="AW86" i="25"/>
  <c r="AV86" i="25"/>
  <c r="AV147" i="25" s="1"/>
  <c r="P86" i="25"/>
  <c r="AS87" i="25"/>
  <c r="AU87" i="25" s="1"/>
  <c r="AA89" i="25"/>
  <c r="AW89" i="25"/>
  <c r="AV89" i="25"/>
  <c r="AV149" i="25" s="1"/>
  <c r="AR89" i="25"/>
  <c r="AR149" i="25" s="1"/>
  <c r="AS95" i="25"/>
  <c r="AU95" i="25" s="1"/>
  <c r="AY95" i="25"/>
  <c r="AN161" i="25"/>
  <c r="AS56" i="25"/>
  <c r="AU56" i="25" s="1"/>
  <c r="P56" i="25"/>
  <c r="AZ158" i="25"/>
  <c r="AY104" i="25"/>
  <c r="AF26" i="25"/>
  <c r="BA129" i="25"/>
  <c r="AS44" i="25"/>
  <c r="AU44" i="25" s="1"/>
  <c r="AW77" i="25"/>
  <c r="AV77" i="25"/>
  <c r="AV153" i="25" s="1"/>
  <c r="AZ154" i="25"/>
  <c r="AY154" i="25" s="1"/>
  <c r="AY78" i="25"/>
  <c r="AI81" i="25"/>
  <c r="AR81" i="25" s="1"/>
  <c r="AJ81" i="25"/>
  <c r="AW81" i="25" s="1"/>
  <c r="AV81" i="25"/>
  <c r="AV159" i="25" s="1"/>
  <c r="AF82" i="25"/>
  <c r="AV87" i="25"/>
  <c r="AW92" i="25"/>
  <c r="AS92" i="25"/>
  <c r="AU92" i="25" s="1"/>
  <c r="AR92" i="25"/>
  <c r="BA92" i="25"/>
  <c r="AO161" i="25"/>
  <c r="AK134" i="25"/>
  <c r="AZ105" i="25"/>
  <c r="AK129" i="25"/>
  <c r="AH129" i="25" s="1"/>
  <c r="H63" i="25"/>
  <c r="L63" i="25" s="1"/>
  <c r="AF66" i="25"/>
  <c r="AL140" i="25"/>
  <c r="AK68" i="25"/>
  <c r="AG68" i="25" s="1"/>
  <c r="AP161" i="25"/>
  <c r="AJ125" i="25"/>
  <c r="AY140" i="25"/>
  <c r="AR91" i="25"/>
  <c r="AF91" i="25" s="1"/>
  <c r="P91" i="25"/>
  <c r="AS91" i="25"/>
  <c r="AU91" i="25" s="1"/>
  <c r="AZ134" i="25"/>
  <c r="AS55" i="25"/>
  <c r="AA58" i="25"/>
  <c r="AV22" i="25"/>
  <c r="AS14" i="25"/>
  <c r="AU14" i="25" s="1"/>
  <c r="AW22" i="25"/>
  <c r="AI24" i="25"/>
  <c r="AS24" i="25" s="1"/>
  <c r="AJ30" i="25"/>
  <c r="AV18" i="25"/>
  <c r="AR27" i="25"/>
  <c r="AF27" i="25" s="1"/>
  <c r="AH125" i="25"/>
  <c r="AF48" i="25"/>
  <c r="AS49" i="25"/>
  <c r="AU49" i="25" s="1"/>
  <c r="AA50" i="25"/>
  <c r="AV51" i="25"/>
  <c r="AA52" i="25"/>
  <c r="AY53" i="25"/>
  <c r="AY57" i="25"/>
  <c r="AR60" i="25"/>
  <c r="AR67" i="25"/>
  <c r="AK153" i="25"/>
  <c r="AY81" i="25"/>
  <c r="AV84" i="25"/>
  <c r="AV144" i="25" s="1"/>
  <c r="AW14" i="25"/>
  <c r="AG14" i="25" s="1"/>
  <c r="AA15" i="25"/>
  <c r="AY18" i="25"/>
  <c r="BA22" i="25"/>
  <c r="BA124" i="25" s="1"/>
  <c r="AS30" i="25"/>
  <c r="AU30" i="25" s="1"/>
  <c r="AR30" i="25"/>
  <c r="AV37" i="25"/>
  <c r="AA38" i="25"/>
  <c r="AV44" i="25"/>
  <c r="AV49" i="25"/>
  <c r="AV133" i="25" s="1"/>
  <c r="AW49" i="25"/>
  <c r="AS53" i="25"/>
  <c r="AU53" i="25" s="1"/>
  <c r="P53" i="25"/>
  <c r="AR53" i="25"/>
  <c r="AA53" i="25"/>
  <c r="AS60" i="25"/>
  <c r="AU60" i="25" s="1"/>
  <c r="I65" i="25"/>
  <c r="I63" i="25" s="1"/>
  <c r="AJ63" i="25" s="1"/>
  <c r="J141" i="25"/>
  <c r="L70" i="25"/>
  <c r="K70" i="25"/>
  <c r="AF70" i="25" s="1"/>
  <c r="J107" i="25"/>
  <c r="AZ142" i="25"/>
  <c r="AY142" i="25" s="1"/>
  <c r="AY74" i="25"/>
  <c r="AW84" i="25"/>
  <c r="AW90" i="25"/>
  <c r="AG90" i="25" s="1"/>
  <c r="BA90" i="25"/>
  <c r="AJ96" i="25"/>
  <c r="AV96" i="25" s="1"/>
  <c r="BA96" i="25"/>
  <c r="AI96" i="25"/>
  <c r="AR96" i="25" s="1"/>
  <c r="AF96" i="25" s="1"/>
  <c r="AW96" i="25"/>
  <c r="AY99" i="25"/>
  <c r="P103" i="25"/>
  <c r="AS103" i="25"/>
  <c r="AW103" i="25"/>
  <c r="AV103" i="25"/>
  <c r="AT108" i="25"/>
  <c r="AJ127" i="25"/>
  <c r="AS16" i="25"/>
  <c r="AV68" i="25"/>
  <c r="AV140" i="25" s="1"/>
  <c r="AA68" i="25"/>
  <c r="AF73" i="25"/>
  <c r="AV79" i="25"/>
  <c r="AV155" i="25" s="1"/>
  <c r="AR45" i="25"/>
  <c r="AF45" i="25" s="1"/>
  <c r="AS15" i="25"/>
  <c r="AU15" i="25" s="1"/>
  <c r="AZ133" i="25"/>
  <c r="AY133" i="25" s="1"/>
  <c r="AR18" i="25"/>
  <c r="AF18" i="25" s="1"/>
  <c r="AY45" i="25"/>
  <c r="AW67" i="25"/>
  <c r="AV67" i="25"/>
  <c r="AV139" i="25" s="1"/>
  <c r="AJ67" i="25"/>
  <c r="AI67" i="25"/>
  <c r="AS67" i="25" s="1"/>
  <c r="AV15" i="25"/>
  <c r="AJ17" i="25"/>
  <c r="AS18" i="25"/>
  <c r="AU18" i="25" s="1"/>
  <c r="AS25" i="25"/>
  <c r="AI13" i="25"/>
  <c r="AS13" i="25" s="1"/>
  <c r="AR14" i="25"/>
  <c r="AF14" i="25" s="1"/>
  <c r="AY15" i="25"/>
  <c r="AA26" i="25"/>
  <c r="AJ13" i="25"/>
  <c r="AJ24" i="25"/>
  <c r="AW25" i="25"/>
  <c r="AR49" i="25"/>
  <c r="AF49" i="25" s="1"/>
  <c r="AK122" i="25"/>
  <c r="AV14" i="25"/>
  <c r="AY25" i="25"/>
  <c r="AZ128" i="25"/>
  <c r="AY128" i="25" s="1"/>
  <c r="AL34" i="25"/>
  <c r="BA39" i="25"/>
  <c r="BA63" i="25" s="1"/>
  <c r="AJ39" i="25"/>
  <c r="AW39" i="25" s="1"/>
  <c r="AI39" i="25"/>
  <c r="AS39" i="25" s="1"/>
  <c r="AU39" i="25" s="1"/>
  <c r="AF54" i="25"/>
  <c r="AV33" i="25"/>
  <c r="AA45" i="25"/>
  <c r="BA55" i="25"/>
  <c r="BA136" i="25" s="1"/>
  <c r="AJ16" i="25"/>
  <c r="AV16" i="25" s="1"/>
  <c r="AR24" i="25"/>
  <c r="AV27" i="25"/>
  <c r="AR37" i="25"/>
  <c r="AW37" i="25"/>
  <c r="AF50" i="25"/>
  <c r="P51" i="25"/>
  <c r="AA51" i="25"/>
  <c r="AR51" i="25"/>
  <c r="AF51" i="25" s="1"/>
  <c r="AR56" i="25"/>
  <c r="AF56" i="25" s="1"/>
  <c r="L65" i="25"/>
  <c r="BA68" i="25"/>
  <c r="BA140" i="25" s="1"/>
  <c r="AI68" i="25"/>
  <c r="AR68" i="25" s="1"/>
  <c r="AS68" i="25"/>
  <c r="AF71" i="25"/>
  <c r="AW74" i="25"/>
  <c r="AV74" i="25"/>
  <c r="AV142" i="25" s="1"/>
  <c r="BA74" i="25"/>
  <c r="BA142" i="25" s="1"/>
  <c r="BA81" i="25"/>
  <c r="BA159" i="25" s="1"/>
  <c r="AH85" i="25"/>
  <c r="K106" i="25"/>
  <c r="AD93" i="25"/>
  <c r="AG101" i="25"/>
  <c r="AA102" i="25"/>
  <c r="AZ157" i="25"/>
  <c r="AY103" i="25"/>
  <c r="AX108" i="25"/>
  <c r="AY127" i="25"/>
  <c r="AY135" i="25"/>
  <c r="AW59" i="25"/>
  <c r="AG59" i="25" s="1"/>
  <c r="AS59" i="25"/>
  <c r="AU59" i="25" s="1"/>
  <c r="AA76" i="25"/>
  <c r="AR85" i="25"/>
  <c r="AF85" i="25" s="1"/>
  <c r="P85" i="25"/>
  <c r="I106" i="25"/>
  <c r="I109" i="25" s="1"/>
  <c r="I160" i="25" s="1"/>
  <c r="AY160" i="25" s="1"/>
  <c r="AI93" i="25"/>
  <c r="AS93" i="25" s="1"/>
  <c r="M140" i="25"/>
  <c r="K140" i="25"/>
  <c r="K125" i="25"/>
  <c r="M125" i="25"/>
  <c r="AJ130" i="25"/>
  <c r="K139" i="25"/>
  <c r="M139" i="25"/>
  <c r="I156" i="25"/>
  <c r="AJ156" i="25" s="1"/>
  <c r="AJ126" i="25"/>
  <c r="I137" i="25"/>
  <c r="I138" i="25"/>
  <c r="K126" i="25"/>
  <c r="AJ128" i="25"/>
  <c r="AZ126" i="25"/>
  <c r="AY126" i="25" s="1"/>
  <c r="P32" i="25"/>
  <c r="AR32" i="25"/>
  <c r="P37" i="25"/>
  <c r="AR40" i="25"/>
  <c r="P43" i="25"/>
  <c r="AY55" i="25"/>
  <c r="AF59" i="25"/>
  <c r="AY75" i="25"/>
  <c r="AI79" i="25"/>
  <c r="AR79" i="25" s="1"/>
  <c r="AR155" i="25" s="1"/>
  <c r="P90" i="25"/>
  <c r="K122" i="25"/>
  <c r="AI124" i="25"/>
  <c r="I133" i="25"/>
  <c r="AH151" i="25"/>
  <c r="AS32" i="25"/>
  <c r="AU32" i="25" s="1"/>
  <c r="AS37" i="25"/>
  <c r="AA37" i="25"/>
  <c r="AV43" i="25"/>
  <c r="AZ132" i="25"/>
  <c r="AY47" i="25"/>
  <c r="AV60" i="25"/>
  <c r="AF60" i="25" s="1"/>
  <c r="AS77" i="25"/>
  <c r="AZ144" i="25"/>
  <c r="AY144" i="25" s="1"/>
  <c r="AY84" i="25"/>
  <c r="AA90" i="25"/>
  <c r="AR90" i="25"/>
  <c r="AF90" i="25" s="1"/>
  <c r="AV98" i="25"/>
  <c r="AA98" i="25"/>
  <c r="AW98" i="25"/>
  <c r="AG98" i="25" s="1"/>
  <c r="AZ138" i="25"/>
  <c r="AY138" i="25" s="1"/>
  <c r="AI72" i="25"/>
  <c r="AR72" i="25" s="1"/>
  <c r="AS73" i="25"/>
  <c r="AU73" i="25" s="1"/>
  <c r="AR73" i="25"/>
  <c r="AI80" i="25"/>
  <c r="AS80" i="25" s="1"/>
  <c r="I116" i="25"/>
  <c r="J116" i="25" s="1"/>
  <c r="BB161" i="25"/>
  <c r="M156" i="25"/>
  <c r="I132" i="25"/>
  <c r="M132" i="25"/>
  <c r="K132" i="25"/>
  <c r="I135" i="25"/>
  <c r="AI135" i="25" s="1"/>
  <c r="M135" i="25"/>
  <c r="AJ135" i="25"/>
  <c r="I146" i="25"/>
  <c r="I131" i="25"/>
  <c r="M146" i="25"/>
  <c r="AI128" i="25"/>
  <c r="AJ140" i="25"/>
  <c r="K145" i="25"/>
  <c r="AH91" i="25"/>
  <c r="H109" i="25"/>
  <c r="L109" i="25" s="1"/>
  <c r="M127" i="25"/>
  <c r="AI138" i="25"/>
  <c r="AL138" i="25"/>
  <c r="AZ156" i="25"/>
  <c r="AY80" i="25"/>
  <c r="AS100" i="25"/>
  <c r="AU100" i="25" s="1"/>
  <c r="AM108" i="25"/>
  <c r="AT161" i="25"/>
  <c r="K127" i="25"/>
  <c r="M131" i="25"/>
  <c r="M144" i="25"/>
  <c r="I134" i="25"/>
  <c r="AI134" i="25" s="1"/>
  <c r="M138" i="25"/>
  <c r="K138" i="25"/>
  <c r="K147" i="25"/>
  <c r="M147" i="25"/>
  <c r="AJ151" i="25"/>
  <c r="AI152" i="25"/>
  <c r="AI136" i="25"/>
  <c r="AY151" i="25"/>
  <c r="AI153" i="25"/>
  <c r="AO170" i="25"/>
  <c r="I148" i="25"/>
  <c r="AY148" i="25" s="1"/>
  <c r="AT170" i="25"/>
  <c r="N198" i="25"/>
  <c r="I153" i="25"/>
  <c r="AY153" i="25" s="1"/>
  <c r="M153" i="25"/>
  <c r="AI139" i="25"/>
  <c r="AI144" i="25"/>
  <c r="K153" i="25"/>
  <c r="AI160" i="25"/>
  <c r="M199" i="25"/>
  <c r="AJ144" i="25"/>
  <c r="AI137" i="25"/>
  <c r="M154" i="25"/>
  <c r="M133" i="25"/>
  <c r="K133" i="25"/>
  <c r="AI133" i="25"/>
  <c r="K137" i="25"/>
  <c r="M152" i="25"/>
  <c r="AR87" i="25"/>
  <c r="AF87" i="25" s="1"/>
  <c r="AQ161" i="25"/>
  <c r="AI123" i="25"/>
  <c r="AJ137" i="25"/>
  <c r="I145" i="25"/>
  <c r="AJ145" i="25" s="1"/>
  <c r="K155" i="25"/>
  <c r="M155" i="25"/>
  <c r="T204" i="25"/>
  <c r="U204" i="25" s="1"/>
  <c r="I141" i="25"/>
  <c r="K148" i="25"/>
  <c r="I149" i="25"/>
  <c r="AH149" i="25" s="1"/>
  <c r="K156" i="25"/>
  <c r="I157" i="25"/>
  <c r="M190" i="25"/>
  <c r="N190" i="25"/>
  <c r="I142" i="25"/>
  <c r="K149" i="25"/>
  <c r="K157" i="25"/>
  <c r="I158" i="25"/>
  <c r="AI158" i="25" s="1"/>
  <c r="O190" i="25"/>
  <c r="L191" i="25"/>
  <c r="N172" i="25"/>
  <c r="H184" i="25"/>
  <c r="M191" i="25"/>
  <c r="L169" i="25"/>
  <c r="P172" i="25"/>
  <c r="I184" i="25"/>
  <c r="N191" i="25"/>
  <c r="S203" i="25"/>
  <c r="N169" i="25"/>
  <c r="R172" i="25"/>
  <c r="O191" i="25"/>
  <c r="P169" i="25"/>
  <c r="L192" i="25"/>
  <c r="L194" i="25" s="1"/>
  <c r="L195" i="25" s="1"/>
  <c r="R169" i="25"/>
  <c r="M192" i="25"/>
  <c r="N197" i="25"/>
  <c r="AO169" i="25"/>
  <c r="N192" i="25"/>
  <c r="M198" i="25"/>
  <c r="L171" i="25"/>
  <c r="AT179" i="25"/>
  <c r="O192" i="25"/>
  <c r="L168" i="25"/>
  <c r="N171" i="25"/>
  <c r="L193" i="25"/>
  <c r="K146" i="25"/>
  <c r="K154" i="25"/>
  <c r="N168" i="25"/>
  <c r="N174" i="25" s="1"/>
  <c r="O174" i="25" s="1"/>
  <c r="P171" i="25"/>
  <c r="L173" i="25"/>
  <c r="H183" i="25"/>
  <c r="H185" i="25" s="1"/>
  <c r="M193" i="25"/>
  <c r="P168" i="25"/>
  <c r="R171" i="25"/>
  <c r="N173" i="25"/>
  <c r="N193" i="25"/>
  <c r="R168" i="25"/>
  <c r="L177" i="25"/>
  <c r="N180" i="25"/>
  <c r="N187" i="25" s="1"/>
  <c r="O187" i="25" s="1"/>
  <c r="L183" i="25"/>
  <c r="M97" i="26" l="1"/>
  <c r="J97" i="26"/>
  <c r="P96" i="26"/>
  <c r="P36" i="26"/>
  <c r="N96" i="26"/>
  <c r="P57" i="26"/>
  <c r="AH134" i="25"/>
  <c r="AY156" i="25"/>
  <c r="AH158" i="25"/>
  <c r="AY134" i="25"/>
  <c r="P97" i="26"/>
  <c r="N36" i="26"/>
  <c r="N97" i="26" s="1"/>
  <c r="AW146" i="25"/>
  <c r="I110" i="25"/>
  <c r="I105" i="25"/>
  <c r="AH105" i="25" s="1"/>
  <c r="AR159" i="25"/>
  <c r="AF81" i="25"/>
  <c r="AU24" i="25"/>
  <c r="AU125" i="25" s="1"/>
  <c r="AS125" i="25"/>
  <c r="AV126" i="25"/>
  <c r="AS160" i="25"/>
  <c r="AU93" i="25"/>
  <c r="AU160" i="25" s="1"/>
  <c r="AR140" i="25"/>
  <c r="AF68" i="25"/>
  <c r="AU13" i="25"/>
  <c r="AW136" i="25"/>
  <c r="AG55" i="25"/>
  <c r="AR143" i="25"/>
  <c r="AF75" i="25"/>
  <c r="AF72" i="25"/>
  <c r="AR123" i="25"/>
  <c r="AF16" i="25"/>
  <c r="AR132" i="25"/>
  <c r="AF47" i="25"/>
  <c r="AW159" i="25"/>
  <c r="AG81" i="25"/>
  <c r="AS144" i="25"/>
  <c r="AU84" i="25"/>
  <c r="AU144" i="25" s="1"/>
  <c r="AS158" i="25"/>
  <c r="AU104" i="25"/>
  <c r="AU158" i="25" s="1"/>
  <c r="AV129" i="25"/>
  <c r="AV63" i="25"/>
  <c r="AS140" i="25"/>
  <c r="AU68" i="25"/>
  <c r="AU140" i="25" s="1"/>
  <c r="AW153" i="25"/>
  <c r="AG77" i="25"/>
  <c r="AZ161" i="25"/>
  <c r="AY122" i="25"/>
  <c r="AF78" i="25"/>
  <c r="N194" i="25"/>
  <c r="H160" i="25"/>
  <c r="AF98" i="25"/>
  <c r="AG23" i="25"/>
  <c r="AW148" i="25"/>
  <c r="AG88" i="25"/>
  <c r="AV39" i="25"/>
  <c r="AW142" i="25"/>
  <c r="AG74" i="25"/>
  <c r="AW157" i="25"/>
  <c r="AG103" i="25"/>
  <c r="M141" i="25"/>
  <c r="K141" i="25"/>
  <c r="AS21" i="25"/>
  <c r="AS122" i="25" s="1"/>
  <c r="AF55" i="25"/>
  <c r="AS96" i="25"/>
  <c r="AU96" i="25" s="1"/>
  <c r="AH131" i="25"/>
  <c r="AF92" i="25"/>
  <c r="AW149" i="25"/>
  <c r="AG89" i="25"/>
  <c r="AY141" i="25"/>
  <c r="AW145" i="25"/>
  <c r="AG82" i="25"/>
  <c r="AU128" i="25"/>
  <c r="AG71" i="25"/>
  <c r="AS129" i="25"/>
  <c r="AU37" i="25"/>
  <c r="AV128" i="25"/>
  <c r="AR124" i="25"/>
  <c r="AF22" i="25"/>
  <c r="AJ148" i="25"/>
  <c r="AR130" i="25"/>
  <c r="AF40" i="25"/>
  <c r="AY157" i="25"/>
  <c r="AS43" i="25"/>
  <c r="AU43" i="25" s="1"/>
  <c r="AK160" i="25"/>
  <c r="AH160" i="25" s="1"/>
  <c r="AH93" i="25"/>
  <c r="AG40" i="25"/>
  <c r="AW130" i="25"/>
  <c r="AS127" i="25"/>
  <c r="AU29" i="25"/>
  <c r="AU127" i="25" s="1"/>
  <c r="AL108" i="25"/>
  <c r="AH138" i="25"/>
  <c r="AR134" i="25"/>
  <c r="AW138" i="25"/>
  <c r="AG66" i="25"/>
  <c r="AJ102" i="25"/>
  <c r="AI102" i="25"/>
  <c r="AR102" i="25" s="1"/>
  <c r="BA102" i="25"/>
  <c r="AW57" i="25"/>
  <c r="AG57" i="25" s="1"/>
  <c r="AF89" i="25"/>
  <c r="AG39" i="25"/>
  <c r="AS79" i="25"/>
  <c r="AR13" i="25"/>
  <c r="AG92" i="25"/>
  <c r="AY149" i="25"/>
  <c r="AV134" i="25"/>
  <c r="AF38" i="25"/>
  <c r="AS133" i="25"/>
  <c r="AU48" i="25"/>
  <c r="AU133" i="25" s="1"/>
  <c r="AK156" i="25"/>
  <c r="AH156" i="25" s="1"/>
  <c r="AH80" i="25"/>
  <c r="AV130" i="25"/>
  <c r="AF62" i="25"/>
  <c r="AH133" i="25"/>
  <c r="AS128" i="25"/>
  <c r="AU134" i="25"/>
  <c r="AV83" i="25"/>
  <c r="AR39" i="25"/>
  <c r="AF39" i="25" s="1"/>
  <c r="AS154" i="25"/>
  <c r="AU78" i="25"/>
  <c r="AU154" i="25" s="1"/>
  <c r="AG67" i="25"/>
  <c r="AW156" i="25"/>
  <c r="AG80" i="25"/>
  <c r="AW133" i="25"/>
  <c r="AG48" i="25"/>
  <c r="AJ146" i="25"/>
  <c r="AI146" i="25"/>
  <c r="AH145" i="25"/>
  <c r="AS33" i="25"/>
  <c r="AU33" i="25" s="1"/>
  <c r="AI140" i="25"/>
  <c r="AW134" i="25"/>
  <c r="AG50" i="25"/>
  <c r="AK152" i="25"/>
  <c r="AH152" i="25" s="1"/>
  <c r="AH76" i="25"/>
  <c r="I34" i="25"/>
  <c r="AJ36" i="25"/>
  <c r="AW127" i="25"/>
  <c r="AG29" i="25"/>
  <c r="J34" i="25"/>
  <c r="L34" i="25" s="1"/>
  <c r="L36" i="25"/>
  <c r="AS138" i="25"/>
  <c r="AU66" i="25"/>
  <c r="AS134" i="25"/>
  <c r="AY137" i="25"/>
  <c r="AS159" i="25"/>
  <c r="AU81" i="25"/>
  <c r="AU159" i="25" s="1"/>
  <c r="AW158" i="25"/>
  <c r="AG104" i="25"/>
  <c r="AR125" i="25"/>
  <c r="AT117" i="25"/>
  <c r="AI145" i="25"/>
  <c r="J110" i="25"/>
  <c r="J105" i="25"/>
  <c r="L107" i="25"/>
  <c r="AS143" i="25"/>
  <c r="AU75" i="25"/>
  <c r="AU143" i="25" s="1"/>
  <c r="AJ132" i="25"/>
  <c r="AI132" i="25"/>
  <c r="AS136" i="25"/>
  <c r="AU55" i="25"/>
  <c r="AU136" i="25" s="1"/>
  <c r="AY145" i="25"/>
  <c r="AI156" i="25"/>
  <c r="AY158" i="25"/>
  <c r="AG95" i="25"/>
  <c r="AL161" i="25"/>
  <c r="AS147" i="25"/>
  <c r="AU86" i="25"/>
  <c r="AU147" i="25" s="1"/>
  <c r="AR128" i="25"/>
  <c r="AF31" i="25"/>
  <c r="AH132" i="25"/>
  <c r="AH141" i="25"/>
  <c r="AW137" i="25"/>
  <c r="AG62" i="25"/>
  <c r="M123" i="25"/>
  <c r="K123" i="25"/>
  <c r="BA138" i="25"/>
  <c r="AG91" i="25"/>
  <c r="AG56" i="25"/>
  <c r="AG87" i="25"/>
  <c r="AW154" i="25"/>
  <c r="AG78" i="25"/>
  <c r="AH146" i="25"/>
  <c r="AS131" i="25"/>
  <c r="AU46" i="25"/>
  <c r="AU131" i="25" s="1"/>
  <c r="AG49" i="25"/>
  <c r="AF77" i="25"/>
  <c r="AK140" i="25"/>
  <c r="AH140" i="25" s="1"/>
  <c r="AH68" i="25"/>
  <c r="AF86" i="25"/>
  <c r="AS132" i="25"/>
  <c r="AU47" i="25"/>
  <c r="AU132" i="25" s="1"/>
  <c r="AY146" i="25"/>
  <c r="AS124" i="25"/>
  <c r="AU22" i="25"/>
  <c r="AU124" i="25" s="1"/>
  <c r="AV138" i="25"/>
  <c r="AR93" i="25"/>
  <c r="AR160" i="25" s="1"/>
  <c r="AS26" i="25"/>
  <c r="AU26" i="25" s="1"/>
  <c r="AG44" i="25"/>
  <c r="AG60" i="25"/>
  <c r="AS148" i="25"/>
  <c r="AU88" i="25"/>
  <c r="AU148" i="25" s="1"/>
  <c r="AJ133" i="25"/>
  <c r="AW129" i="25"/>
  <c r="AG37" i="25"/>
  <c r="AW63" i="25"/>
  <c r="AW17" i="25"/>
  <c r="AG17" i="25" s="1"/>
  <c r="AV17" i="25"/>
  <c r="AF17" i="25" s="1"/>
  <c r="AH153" i="25"/>
  <c r="AW30" i="25"/>
  <c r="AG30" i="25" s="1"/>
  <c r="AV30" i="25"/>
  <c r="AF30" i="25" s="1"/>
  <c r="AW147" i="25"/>
  <c r="AG86" i="25"/>
  <c r="AV53" i="25"/>
  <c r="AF53" i="25" s="1"/>
  <c r="AS149" i="25"/>
  <c r="AU89" i="25"/>
  <c r="AU149" i="25" s="1"/>
  <c r="H110" i="25"/>
  <c r="I5" i="25" s="1"/>
  <c r="H105" i="25"/>
  <c r="H108" i="25" s="1"/>
  <c r="G5" i="25" s="1"/>
  <c r="AG18" i="25"/>
  <c r="AG51" i="25"/>
  <c r="AI148" i="25"/>
  <c r="AY102" i="25"/>
  <c r="AK139" i="25"/>
  <c r="AH139" i="25" s="1"/>
  <c r="AF67" i="25"/>
  <c r="AH67" i="25"/>
  <c r="AK126" i="25"/>
  <c r="AH126" i="25" s="1"/>
  <c r="AH25" i="25"/>
  <c r="AF25" i="25"/>
  <c r="AJ157" i="25"/>
  <c r="L174" i="25"/>
  <c r="M174" i="25" s="1"/>
  <c r="K109" i="25"/>
  <c r="AD106" i="25"/>
  <c r="AR129" i="25"/>
  <c r="AR63" i="25"/>
  <c r="AF37" i="25"/>
  <c r="AY131" i="25"/>
  <c r="AW144" i="25"/>
  <c r="AG84" i="25"/>
  <c r="AW16" i="25"/>
  <c r="AR138" i="25"/>
  <c r="AI94" i="25"/>
  <c r="AS94" i="25" s="1"/>
  <c r="AW94" i="25"/>
  <c r="AV94" i="25"/>
  <c r="AV150" i="25" s="1"/>
  <c r="BA94" i="25"/>
  <c r="BA150" i="25" s="1"/>
  <c r="AJ94" i="25"/>
  <c r="AS83" i="25"/>
  <c r="AG32" i="25"/>
  <c r="AG20" i="25"/>
  <c r="AV157" i="25"/>
  <c r="AF103" i="25"/>
  <c r="AD70" i="25"/>
  <c r="K107" i="25"/>
  <c r="AY105" i="25"/>
  <c r="AZ108" i="25"/>
  <c r="AS141" i="25"/>
  <c r="AU69" i="25"/>
  <c r="AU141" i="25" s="1"/>
  <c r="AG70" i="25"/>
  <c r="AW24" i="25"/>
  <c r="AV24" i="25"/>
  <c r="AV125" i="25" s="1"/>
  <c r="AS157" i="25"/>
  <c r="AU103" i="25"/>
  <c r="AU157" i="25" s="1"/>
  <c r="AJ138" i="25"/>
  <c r="AK142" i="25"/>
  <c r="AH142" i="25" s="1"/>
  <c r="AH74" i="25"/>
  <c r="AF74" i="25"/>
  <c r="M194" i="25"/>
  <c r="M195" i="25" s="1"/>
  <c r="AR97" i="25"/>
  <c r="AF97" i="25" s="1"/>
  <c r="AI142" i="25"/>
  <c r="AJ134" i="25"/>
  <c r="AR139" i="25"/>
  <c r="P174" i="25"/>
  <c r="Q174" i="25" s="1"/>
  <c r="AI157" i="25"/>
  <c r="AY132" i="25"/>
  <c r="AJ131" i="25"/>
  <c r="AI63" i="25"/>
  <c r="AH122" i="25"/>
  <c r="AS139" i="25"/>
  <c r="AU67" i="25"/>
  <c r="AU139" i="25" s="1"/>
  <c r="AS123" i="25"/>
  <c r="AU16" i="25"/>
  <c r="AU123" i="25" s="1"/>
  <c r="AW124" i="25"/>
  <c r="AG22" i="25"/>
  <c r="AW128" i="25"/>
  <c r="AH42" i="25"/>
  <c r="AF42" i="25"/>
  <c r="AR141" i="25"/>
  <c r="AF69" i="25"/>
  <c r="AK34" i="25"/>
  <c r="AK108" i="25" s="1"/>
  <c r="AS137" i="25"/>
  <c r="AU62" i="25"/>
  <c r="AU137" i="25" s="1"/>
  <c r="AI130" i="25"/>
  <c r="I150" i="25"/>
  <c r="AH150" i="25" s="1"/>
  <c r="M150" i="25"/>
  <c r="AR80" i="25"/>
  <c r="AR156" i="25" s="1"/>
  <c r="AG97" i="25"/>
  <c r="AH135" i="25"/>
  <c r="AW85" i="25"/>
  <c r="AG85" i="25" s="1"/>
  <c r="AV124" i="25"/>
  <c r="AW132" i="25"/>
  <c r="AG47" i="25"/>
  <c r="AI122" i="25"/>
  <c r="AW143" i="25"/>
  <c r="AG75" i="25"/>
  <c r="AW126" i="25"/>
  <c r="AG25" i="25"/>
  <c r="AR126" i="25"/>
  <c r="AK148" i="25"/>
  <c r="AH148" i="25" s="1"/>
  <c r="AH88" i="25"/>
  <c r="AF88" i="25"/>
  <c r="AW13" i="25"/>
  <c r="AV13" i="25"/>
  <c r="L187" i="25"/>
  <c r="M187" i="25" s="1"/>
  <c r="AJ149" i="25"/>
  <c r="AS153" i="25"/>
  <c r="AU77" i="25"/>
  <c r="AU153" i="25" s="1"/>
  <c r="AS126" i="25"/>
  <c r="AU25" i="25"/>
  <c r="AU126" i="25" s="1"/>
  <c r="R174" i="25"/>
  <c r="AJ160" i="25"/>
  <c r="AJ158" i="25"/>
  <c r="AJ141" i="25"/>
  <c r="AI149" i="25"/>
  <c r="AJ142" i="25"/>
  <c r="AH157" i="25"/>
  <c r="AI131" i="25"/>
  <c r="AS156" i="25"/>
  <c r="AU80" i="25"/>
  <c r="AU156" i="25" s="1"/>
  <c r="AR57" i="25"/>
  <c r="AF57" i="25" s="1"/>
  <c r="AI141" i="25"/>
  <c r="N199" i="25"/>
  <c r="AJ153" i="25"/>
  <c r="J161" i="25"/>
  <c r="AK159" i="25"/>
  <c r="AH159" i="25" s="1"/>
  <c r="AH81" i="25"/>
  <c r="AV76" i="25"/>
  <c r="AW76" i="25"/>
  <c r="AV104" i="25"/>
  <c r="AV158" i="25" s="1"/>
  <c r="BA122" i="25"/>
  <c r="BA34" i="25"/>
  <c r="AF93" i="25"/>
  <c r="AY63" i="25"/>
  <c r="AG73" i="25"/>
  <c r="AI125" i="25"/>
  <c r="AG72" i="25"/>
  <c r="AS102" i="25" l="1"/>
  <c r="AU102" i="25" s="1"/>
  <c r="BA161" i="25"/>
  <c r="AY150" i="25"/>
  <c r="AU21" i="25"/>
  <c r="AG21" i="25"/>
  <c r="AW123" i="25"/>
  <c r="AG16" i="25"/>
  <c r="AS63" i="25"/>
  <c r="K110" i="25"/>
  <c r="AD110" i="25" s="1"/>
  <c r="AD107" i="25"/>
  <c r="K105" i="25"/>
  <c r="AR133" i="25"/>
  <c r="AU129" i="25"/>
  <c r="AU63" i="25"/>
  <c r="P137" i="25"/>
  <c r="AV152" i="25"/>
  <c r="AF76" i="25"/>
  <c r="AF80" i="25"/>
  <c r="AW152" i="25"/>
  <c r="AG76" i="25"/>
  <c r="AF24" i="25"/>
  <c r="AG43" i="25"/>
  <c r="AI34" i="25"/>
  <c r="AJ34" i="25"/>
  <c r="P147" i="25"/>
  <c r="P123" i="25"/>
  <c r="AY34" i="25"/>
  <c r="AG26" i="25"/>
  <c r="AG96" i="25"/>
  <c r="AV123" i="25"/>
  <c r="K160" i="25"/>
  <c r="AD109" i="25"/>
  <c r="AW139" i="25"/>
  <c r="AG33" i="25"/>
  <c r="AW125" i="25"/>
  <c r="AG24" i="25"/>
  <c r="AF104" i="25"/>
  <c r="P122" i="25"/>
  <c r="AK161" i="25"/>
  <c r="AK162" i="25" s="1"/>
  <c r="L105" i="25"/>
  <c r="J108" i="25"/>
  <c r="L108" i="25" s="1"/>
  <c r="AU138" i="25"/>
  <c r="AR34" i="25"/>
  <c r="AR122" i="25"/>
  <c r="AF13" i="25"/>
  <c r="M160" i="25"/>
  <c r="H161" i="25"/>
  <c r="L160" i="25" s="1"/>
  <c r="AW150" i="25"/>
  <c r="AG94" i="25"/>
  <c r="BA105" i="25"/>
  <c r="BA108" i="25" s="1"/>
  <c r="BA109" i="25" s="1"/>
  <c r="L110" i="25"/>
  <c r="I108" i="25"/>
  <c r="P151" i="25" s="1"/>
  <c r="AJ105" i="25"/>
  <c r="AI105" i="25"/>
  <c r="AI150" i="25"/>
  <c r="AJ150" i="25"/>
  <c r="AV122" i="25"/>
  <c r="AV34" i="25"/>
  <c r="AW122" i="25"/>
  <c r="AG13" i="25"/>
  <c r="AW34" i="25"/>
  <c r="I161" i="25"/>
  <c r="Q150" i="25" s="1"/>
  <c r="AR94" i="25"/>
  <c r="P156" i="25"/>
  <c r="AV146" i="25"/>
  <c r="AF83" i="25"/>
  <c r="AS155" i="25"/>
  <c r="AU79" i="25"/>
  <c r="AU155" i="25" s="1"/>
  <c r="AG79" i="25"/>
  <c r="AL162" i="25"/>
  <c r="AW102" i="25"/>
  <c r="AG102" i="25" s="1"/>
  <c r="AV102" i="25"/>
  <c r="AF102" i="25" s="1"/>
  <c r="AS146" i="25"/>
  <c r="AU83" i="25"/>
  <c r="AU146" i="25" s="1"/>
  <c r="AH34" i="25"/>
  <c r="AS150" i="25"/>
  <c r="AU94" i="25"/>
  <c r="AU150" i="25" s="1"/>
  <c r="P158" i="25"/>
  <c r="P134" i="25"/>
  <c r="AU122" i="25"/>
  <c r="AU34" i="25"/>
  <c r="AG83" i="25"/>
  <c r="AR105" i="25"/>
  <c r="AR108" i="25" s="1"/>
  <c r="AS34" i="25"/>
  <c r="AU161" i="25" l="1"/>
  <c r="AS105" i="25"/>
  <c r="AS108" i="25" s="1"/>
  <c r="P125" i="25"/>
  <c r="P143" i="25"/>
  <c r="AV161" i="25"/>
  <c r="P152" i="25"/>
  <c r="P149" i="25"/>
  <c r="P141" i="25"/>
  <c r="P131" i="25"/>
  <c r="AS161" i="25"/>
  <c r="P160" i="25"/>
  <c r="P153" i="25"/>
  <c r="P127" i="25"/>
  <c r="P142" i="25"/>
  <c r="R150" i="25"/>
  <c r="P128" i="25"/>
  <c r="P150" i="25"/>
  <c r="P144" i="25"/>
  <c r="AY108" i="25"/>
  <c r="P159" i="25"/>
  <c r="P140" i="25"/>
  <c r="AV105" i="25"/>
  <c r="AV108" i="25" s="1"/>
  <c r="P133" i="25"/>
  <c r="M161" i="25"/>
  <c r="P146" i="25"/>
  <c r="P155" i="25"/>
  <c r="P124" i="25"/>
  <c r="K161" i="25"/>
  <c r="AU105" i="25"/>
  <c r="AU108" i="25" s="1"/>
  <c r="AW105" i="25"/>
  <c r="AW108" i="25" s="1"/>
  <c r="AR150" i="25"/>
  <c r="AR161" i="25" s="1"/>
  <c r="AF94" i="25"/>
  <c r="P132" i="25"/>
  <c r="AJ108" i="25"/>
  <c r="P130" i="25"/>
  <c r="P138" i="25"/>
  <c r="AI108" i="25"/>
  <c r="P135" i="25"/>
  <c r="P145" i="25"/>
  <c r="L161" i="25"/>
  <c r="L155" i="25"/>
  <c r="L147" i="25"/>
  <c r="L159" i="25"/>
  <c r="L143" i="25"/>
  <c r="L152" i="25"/>
  <c r="L139" i="25"/>
  <c r="L144" i="25"/>
  <c r="L128" i="25"/>
  <c r="L129" i="25"/>
  <c r="L151" i="25"/>
  <c r="L136" i="25"/>
  <c r="L127" i="25"/>
  <c r="L123" i="25"/>
  <c r="L124" i="25"/>
  <c r="L130" i="25"/>
  <c r="L133" i="25"/>
  <c r="L135" i="25"/>
  <c r="L125" i="25"/>
  <c r="L146" i="25"/>
  <c r="L141" i="25"/>
  <c r="L138" i="25"/>
  <c r="L132" i="25"/>
  <c r="L142" i="25"/>
  <c r="L153" i="25"/>
  <c r="L149" i="25"/>
  <c r="L154" i="25"/>
  <c r="L156" i="25"/>
  <c r="L157" i="25"/>
  <c r="L126" i="25"/>
  <c r="L145" i="25"/>
  <c r="L148" i="25"/>
  <c r="L140" i="25"/>
  <c r="L122" i="25"/>
  <c r="L131" i="25"/>
  <c r="L137" i="25"/>
  <c r="L134" i="25"/>
  <c r="L158" i="25"/>
  <c r="L150" i="25"/>
  <c r="Q143" i="25"/>
  <c r="R129" i="25"/>
  <c r="Q129" i="25"/>
  <c r="R144" i="25"/>
  <c r="Q159" i="25"/>
  <c r="R128" i="25"/>
  <c r="Q124" i="25"/>
  <c r="R123" i="25"/>
  <c r="R124" i="25"/>
  <c r="Q139" i="25"/>
  <c r="Q154" i="25"/>
  <c r="S155" i="25"/>
  <c r="R143" i="25"/>
  <c r="S159" i="25"/>
  <c r="R147" i="25"/>
  <c r="Q136" i="25"/>
  <c r="R136" i="25"/>
  <c r="S154" i="25"/>
  <c r="Q128" i="25"/>
  <c r="R127" i="25"/>
  <c r="Q155" i="25"/>
  <c r="Q147" i="25"/>
  <c r="S152" i="25"/>
  <c r="R151" i="25"/>
  <c r="Q144" i="25"/>
  <c r="Q127" i="25"/>
  <c r="R139" i="25"/>
  <c r="R126" i="25"/>
  <c r="Q123" i="25"/>
  <c r="Q152" i="25"/>
  <c r="Q151" i="25"/>
  <c r="Q126" i="25"/>
  <c r="R134" i="25"/>
  <c r="Q133" i="25"/>
  <c r="S158" i="25"/>
  <c r="Q156" i="25"/>
  <c r="Q153" i="25"/>
  <c r="Q131" i="25"/>
  <c r="S153" i="25"/>
  <c r="Q122" i="25"/>
  <c r="Q149" i="25"/>
  <c r="Q141" i="25"/>
  <c r="R131" i="25"/>
  <c r="R140" i="25"/>
  <c r="Q125" i="25"/>
  <c r="Q138" i="25"/>
  <c r="Q145" i="25"/>
  <c r="Q140" i="25"/>
  <c r="S156" i="25"/>
  <c r="R130" i="25"/>
  <c r="Q130" i="25"/>
  <c r="R122" i="25"/>
  <c r="R149" i="25"/>
  <c r="R141" i="25"/>
  <c r="R125" i="25"/>
  <c r="R132" i="25"/>
  <c r="Q132" i="25"/>
  <c r="R138" i="25"/>
  <c r="R145" i="25"/>
  <c r="R148" i="25"/>
  <c r="S157" i="25"/>
  <c r="Q137" i="25"/>
  <c r="R137" i="25"/>
  <c r="R146" i="25"/>
  <c r="Q148" i="25"/>
  <c r="R135" i="25"/>
  <c r="Q135" i="25"/>
  <c r="Q160" i="25"/>
  <c r="Q146" i="25"/>
  <c r="Q142" i="25"/>
  <c r="Q157" i="25"/>
  <c r="Q134" i="25"/>
  <c r="R133" i="25"/>
  <c r="Q158" i="25"/>
  <c r="R142" i="25"/>
  <c r="P126" i="25"/>
  <c r="P154" i="25"/>
  <c r="P148" i="25"/>
  <c r="AH108" i="25"/>
  <c r="AG108" i="25"/>
  <c r="AG143" i="25" s="1"/>
  <c r="P136" i="25"/>
  <c r="P139" i="25"/>
  <c r="K108" i="25"/>
  <c r="AD108" i="25" s="1"/>
  <c r="AD105" i="25"/>
  <c r="AW161" i="25"/>
  <c r="P129" i="25"/>
  <c r="AY161" i="25"/>
  <c r="P157" i="25"/>
  <c r="AG152" i="25" l="1"/>
  <c r="AG157" i="25"/>
  <c r="AG127" i="25"/>
  <c r="AG142" i="25"/>
  <c r="AG147" i="25"/>
  <c r="AG158" i="25"/>
  <c r="AG125" i="25"/>
  <c r="AG126" i="25"/>
  <c r="AG128" i="25"/>
  <c r="AF108" i="25"/>
  <c r="AF157" i="25" s="1"/>
  <c r="AG149" i="25"/>
  <c r="AG124" i="25"/>
  <c r="AF135" i="25"/>
  <c r="AG137" i="25"/>
  <c r="AG144" i="25"/>
  <c r="AG154" i="25"/>
  <c r="AG135" i="25"/>
  <c r="AG160" i="25"/>
  <c r="AF129" i="25"/>
  <c r="AF139" i="25"/>
  <c r="AG153" i="25"/>
  <c r="AG159" i="25"/>
  <c r="AF127" i="25"/>
  <c r="AF142" i="25"/>
  <c r="AG138" i="25"/>
  <c r="Q161" i="25"/>
  <c r="AG145" i="25"/>
  <c r="AG129" i="25"/>
  <c r="AG146" i="25"/>
  <c r="AG136" i="25"/>
  <c r="AG140" i="25"/>
  <c r="AG122" i="25"/>
  <c r="AF126" i="25"/>
  <c r="AF144" i="25"/>
  <c r="S161" i="25"/>
  <c r="AG130" i="25"/>
  <c r="AG133" i="25"/>
  <c r="AG148" i="25"/>
  <c r="AG156" i="25"/>
  <c r="AG131" i="25"/>
  <c r="AG139" i="25"/>
  <c r="AG132" i="25"/>
  <c r="AG150" i="25"/>
  <c r="I6" i="25"/>
  <c r="AG141" i="25"/>
  <c r="AF133" i="25"/>
  <c r="AF130" i="25"/>
  <c r="AG155" i="25"/>
  <c r="AG134" i="25"/>
  <c r="AF149" i="25"/>
  <c r="R161" i="25"/>
  <c r="AG123" i="25"/>
  <c r="AG151" i="25"/>
  <c r="AF152" i="25"/>
  <c r="AF123" i="25"/>
  <c r="AF132" i="25" l="1"/>
  <c r="AF160" i="25"/>
  <c r="AF159" i="25"/>
  <c r="AF151" i="25"/>
  <c r="AF124" i="25"/>
  <c r="AF154" i="25"/>
  <c r="AF153" i="25"/>
  <c r="AF136" i="25"/>
  <c r="AF145" i="25"/>
  <c r="AF134" i="25"/>
  <c r="AF147" i="25"/>
  <c r="AF143" i="25"/>
  <c r="AF146" i="25"/>
  <c r="AF150" i="25"/>
  <c r="AF155" i="25"/>
  <c r="AF125" i="25"/>
  <c r="AF156" i="25"/>
  <c r="AF138" i="25"/>
  <c r="G6" i="25"/>
  <c r="AF137" i="25"/>
  <c r="AF128" i="25"/>
  <c r="AF148" i="25"/>
  <c r="AF158" i="25"/>
  <c r="AF141" i="25"/>
  <c r="AF122" i="25"/>
  <c r="AF140" i="25"/>
  <c r="AF131" i="25"/>
  <c r="T8" i="3" l="1"/>
  <c r="T9" i="3"/>
  <c r="S9" i="29" l="1"/>
  <c r="S8" i="29"/>
  <c r="Y8" i="29" s="1"/>
  <c r="S10" i="29"/>
  <c r="S11" i="29"/>
  <c r="S12" i="29"/>
  <c r="S13" i="29"/>
  <c r="E13" i="29" s="1"/>
  <c r="S14" i="29"/>
  <c r="F11" i="32"/>
  <c r="P8" i="29"/>
  <c r="J23" i="27"/>
  <c r="J24" i="27"/>
  <c r="E8" i="29" l="1"/>
  <c r="C20" i="41" l="1"/>
  <c r="D67" i="42" s="1"/>
  <c r="D65" i="42"/>
  <c r="D63" i="42"/>
  <c r="D59" i="42" s="1"/>
  <c r="D55" i="42" s="1"/>
  <c r="D71" i="42" s="1"/>
  <c r="D72" i="42" s="1"/>
  <c r="D50" i="42"/>
  <c r="D35" i="42" s="1"/>
  <c r="D33" i="42" s="1"/>
  <c r="D53" i="42" s="1"/>
  <c r="D28" i="42" s="1"/>
  <c r="D23" i="42" s="1"/>
  <c r="D21" i="42"/>
  <c r="D10" i="42" s="1"/>
  <c r="D20" i="42" l="1"/>
  <c r="D9" i="42"/>
  <c r="D31" i="42" s="1"/>
  <c r="S36" i="29" l="1"/>
  <c r="S32" i="29"/>
  <c r="J10" i="29"/>
  <c r="X10" i="29" s="1"/>
  <c r="I8" i="29"/>
  <c r="J9" i="29"/>
  <c r="X9" i="29" s="1"/>
  <c r="J11" i="29"/>
  <c r="X11" i="29" s="1"/>
  <c r="J12" i="29"/>
  <c r="X12" i="29" s="1"/>
  <c r="X13" i="29"/>
  <c r="J14" i="29"/>
  <c r="X14" i="29" s="1"/>
  <c r="J8" i="29" l="1"/>
  <c r="I15" i="29"/>
  <c r="K42" i="5"/>
  <c r="I42" i="5"/>
  <c r="G41" i="5"/>
  <c r="G40" i="5"/>
  <c r="K36" i="5"/>
  <c r="I36" i="5"/>
  <c r="G35" i="5"/>
  <c r="G34" i="5"/>
  <c r="G33" i="5"/>
  <c r="G32" i="5"/>
  <c r="G31" i="5"/>
  <c r="K27" i="5"/>
  <c r="K7" i="5" s="1"/>
  <c r="I27" i="5"/>
  <c r="I7" i="5" s="1"/>
  <c r="G26" i="5"/>
  <c r="G25" i="5"/>
  <c r="G24" i="5"/>
  <c r="G23" i="5"/>
  <c r="K19" i="5"/>
  <c r="I19" i="5"/>
  <c r="G18" i="5"/>
  <c r="G17" i="5"/>
  <c r="G16" i="5"/>
  <c r="G15" i="5"/>
  <c r="G14" i="5"/>
  <c r="K8" i="5"/>
  <c r="K6" i="5"/>
  <c r="I6" i="5"/>
  <c r="X8" i="29" l="1"/>
  <c r="J15" i="29"/>
  <c r="I10" i="5"/>
  <c r="K10" i="5"/>
  <c r="G87" i="40"/>
  <c r="H135" i="35"/>
  <c r="H153" i="35"/>
  <c r="H154" i="35" s="1"/>
  <c r="H138" i="35"/>
  <c r="H139" i="35" s="1"/>
  <c r="H97" i="35"/>
  <c r="H98" i="35" s="1"/>
  <c r="H83" i="35"/>
  <c r="H84" i="35"/>
  <c r="H85" i="35"/>
  <c r="H86" i="35" s="1"/>
  <c r="H39" i="35"/>
  <c r="H40" i="35" s="1"/>
  <c r="H41" i="35" s="1"/>
  <c r="H26" i="35"/>
  <c r="H27" i="35"/>
  <c r="H28" i="35"/>
  <c r="H29" i="35" s="1"/>
  <c r="D14" i="19"/>
  <c r="T116" i="32"/>
  <c r="T117" i="32"/>
  <c r="T118" i="32"/>
  <c r="T119" i="32"/>
  <c r="T120" i="32"/>
  <c r="T122" i="32"/>
  <c r="T123" i="32"/>
  <c r="T125" i="32"/>
  <c r="T126" i="32"/>
  <c r="T127" i="32"/>
  <c r="T128" i="32"/>
  <c r="T102" i="32"/>
  <c r="T103" i="32"/>
  <c r="T104" i="32"/>
  <c r="T105" i="32"/>
  <c r="T106" i="32"/>
  <c r="T107" i="32"/>
  <c r="T108" i="32"/>
  <c r="T109" i="32"/>
  <c r="T110" i="32"/>
  <c r="T111" i="32"/>
  <c r="T112" i="32"/>
  <c r="T113" i="32"/>
  <c r="T101" i="32"/>
  <c r="P41" i="19"/>
  <c r="F8" i="19"/>
  <c r="K66" i="32"/>
  <c r="K63" i="32"/>
  <c r="K82" i="32"/>
  <c r="K81" i="32"/>
  <c r="K80" i="32"/>
  <c r="K79" i="32"/>
  <c r="K56" i="32"/>
  <c r="K57" i="32"/>
  <c r="K58" i="32"/>
  <c r="K59" i="32"/>
  <c r="K60" i="32"/>
  <c r="K61" i="32"/>
  <c r="K62" i="32"/>
  <c r="K64" i="32"/>
  <c r="K65" i="32"/>
  <c r="K67" i="32"/>
  <c r="K68" i="32"/>
  <c r="K72" i="32"/>
  <c r="K73" i="32"/>
  <c r="K74" i="32"/>
  <c r="K75" i="32"/>
  <c r="K55" i="32"/>
  <c r="F12" i="19"/>
  <c r="F14" i="19"/>
  <c r="D11" i="19"/>
  <c r="D8" i="19"/>
  <c r="D9" i="19"/>
  <c r="D10" i="19"/>
  <c r="D13" i="19"/>
  <c r="K53" i="32"/>
  <c r="K52" i="32"/>
  <c r="K51" i="32"/>
  <c r="K50" i="32" l="1"/>
  <c r="F13" i="19"/>
  <c r="H141" i="35"/>
  <c r="H142" i="35" s="1"/>
  <c r="H140" i="35"/>
  <c r="F11" i="19"/>
  <c r="K54" i="32"/>
  <c r="AA94" i="32" l="1"/>
  <c r="AA95" i="32" s="1"/>
  <c r="K69" i="32" l="1"/>
  <c r="F9" i="19"/>
  <c r="F10" i="19"/>
  <c r="K70" i="32"/>
  <c r="K71" i="32"/>
  <c r="K49" i="37" l="1"/>
  <c r="K64" i="37" s="1"/>
  <c r="J49" i="37"/>
  <c r="J64" i="37" s="1"/>
  <c r="I49" i="37"/>
  <c r="I64" i="37" s="1"/>
  <c r="H49" i="37"/>
  <c r="H64" i="37" s="1"/>
  <c r="G49" i="37"/>
  <c r="G64" i="37" s="1"/>
  <c r="F49" i="37"/>
  <c r="F64" i="37" s="1"/>
  <c r="E49" i="37"/>
  <c r="E64" i="37" s="1"/>
  <c r="D49" i="37"/>
  <c r="D64" i="37" s="1"/>
  <c r="C49" i="37"/>
  <c r="C64" i="37" s="1"/>
  <c r="L48" i="37"/>
  <c r="L47" i="37"/>
  <c r="L46" i="37"/>
  <c r="L45" i="37"/>
  <c r="L44" i="37"/>
  <c r="L43" i="37"/>
  <c r="L42" i="37"/>
  <c r="L41" i="37"/>
  <c r="L40" i="37"/>
  <c r="L39" i="37"/>
  <c r="L38" i="37"/>
  <c r="L37" i="37"/>
  <c r="L36" i="37"/>
  <c r="L35" i="37"/>
  <c r="L34" i="37"/>
  <c r="L33" i="37"/>
  <c r="L32" i="37"/>
  <c r="L31" i="37"/>
  <c r="L30" i="37"/>
  <c r="L29" i="37"/>
  <c r="L28" i="37"/>
  <c r="L27" i="37"/>
  <c r="L26" i="37"/>
  <c r="L25" i="37"/>
  <c r="L24" i="37"/>
  <c r="L23" i="37"/>
  <c r="L22" i="37"/>
  <c r="L21" i="37"/>
  <c r="L20" i="37"/>
  <c r="L19" i="37"/>
  <c r="L18" i="37"/>
  <c r="L17" i="37"/>
  <c r="L16" i="37"/>
  <c r="L15" i="37"/>
  <c r="L14" i="37"/>
  <c r="L13" i="37"/>
  <c r="L12" i="37"/>
  <c r="L11" i="37"/>
  <c r="L10" i="37"/>
  <c r="L9" i="37"/>
  <c r="L8" i="37"/>
  <c r="L64" i="37" l="1"/>
  <c r="L49" i="37"/>
  <c r="E314" i="28"/>
  <c r="D314" i="28"/>
  <c r="C314" i="28"/>
  <c r="I306" i="28"/>
  <c r="H306" i="28"/>
  <c r="G306" i="28"/>
  <c r="F306" i="28"/>
  <c r="K306" i="28" s="1"/>
  <c r="E306" i="28"/>
  <c r="D306" i="28"/>
  <c r="I305" i="28"/>
  <c r="H305" i="28"/>
  <c r="G305" i="28"/>
  <c r="F305" i="28"/>
  <c r="E305" i="28"/>
  <c r="D305" i="28"/>
  <c r="I304" i="28"/>
  <c r="H304" i="28"/>
  <c r="G304" i="28"/>
  <c r="F304" i="28"/>
  <c r="E304" i="28"/>
  <c r="D304" i="28"/>
  <c r="I303" i="28"/>
  <c r="H303" i="28"/>
  <c r="G303" i="28"/>
  <c r="F303" i="28"/>
  <c r="E303" i="28"/>
  <c r="D303" i="28"/>
  <c r="M302" i="28"/>
  <c r="I302" i="28"/>
  <c r="H302" i="28"/>
  <c r="G302" i="28"/>
  <c r="F302" i="28"/>
  <c r="E302" i="28"/>
  <c r="D302" i="28"/>
  <c r="K301" i="28"/>
  <c r="K295" i="28"/>
  <c r="K294" i="28"/>
  <c r="K293" i="28"/>
  <c r="K292" i="28"/>
  <c r="K291" i="28"/>
  <c r="K290" i="28"/>
  <c r="K289" i="28"/>
  <c r="K288" i="28"/>
  <c r="K287" i="28"/>
  <c r="K286" i="28"/>
  <c r="K285" i="28"/>
  <c r="K284" i="28"/>
  <c r="K283" i="28"/>
  <c r="K282" i="28"/>
  <c r="K281" i="28"/>
  <c r="K280" i="28"/>
  <c r="K279" i="28"/>
  <c r="K278" i="28"/>
  <c r="K277" i="28"/>
  <c r="K276" i="28"/>
  <c r="K275" i="28"/>
  <c r="K274" i="28"/>
  <c r="K273" i="28"/>
  <c r="K272" i="28"/>
  <c r="K271" i="28"/>
  <c r="K270" i="28"/>
  <c r="K269" i="28"/>
  <c r="K268" i="28"/>
  <c r="K267" i="28"/>
  <c r="K266" i="28"/>
  <c r="K265" i="28"/>
  <c r="K264" i="28"/>
  <c r="K263" i="28"/>
  <c r="K262" i="28"/>
  <c r="K261" i="28"/>
  <c r="K260" i="28"/>
  <c r="K259" i="28"/>
  <c r="K258" i="28"/>
  <c r="K257" i="28"/>
  <c r="K256" i="28"/>
  <c r="K255" i="28"/>
  <c r="K254" i="28"/>
  <c r="K253" i="28"/>
  <c r="K252" i="28"/>
  <c r="K251" i="28"/>
  <c r="K250" i="28"/>
  <c r="K249" i="28"/>
  <c r="K248" i="28"/>
  <c r="K247" i="28"/>
  <c r="K246" i="28"/>
  <c r="K245" i="28"/>
  <c r="K244" i="28"/>
  <c r="K243" i="28"/>
  <c r="K242" i="28"/>
  <c r="K241" i="28"/>
  <c r="K240" i="28"/>
  <c r="K239" i="28"/>
  <c r="K238" i="28"/>
  <c r="K237" i="28"/>
  <c r="K236" i="28"/>
  <c r="K235" i="28"/>
  <c r="K234" i="28"/>
  <c r="K233" i="28"/>
  <c r="K232" i="28"/>
  <c r="K231" i="28"/>
  <c r="K230" i="28"/>
  <c r="K229" i="28"/>
  <c r="K228" i="28"/>
  <c r="K227" i="28"/>
  <c r="K226" i="28"/>
  <c r="K225" i="28"/>
  <c r="K224" i="28"/>
  <c r="K223" i="28"/>
  <c r="K222" i="28"/>
  <c r="K221" i="28"/>
  <c r="K220" i="28"/>
  <c r="K219" i="28"/>
  <c r="K218" i="28"/>
  <c r="K217" i="28"/>
  <c r="K216" i="28"/>
  <c r="K215" i="28"/>
  <c r="K214" i="28"/>
  <c r="K213" i="28"/>
  <c r="K212" i="28"/>
  <c r="K211" i="28"/>
  <c r="K210" i="28"/>
  <c r="K209" i="28"/>
  <c r="K208" i="28"/>
  <c r="K207" i="28"/>
  <c r="K206" i="28"/>
  <c r="K205" i="28"/>
  <c r="K204" i="28"/>
  <c r="K203" i="28"/>
  <c r="K202" i="28"/>
  <c r="K201" i="28"/>
  <c r="K200" i="28"/>
  <c r="K199" i="28"/>
  <c r="K198" i="28"/>
  <c r="K197" i="28"/>
  <c r="K196" i="28"/>
  <c r="K195" i="28"/>
  <c r="K194" i="28"/>
  <c r="K193" i="28"/>
  <c r="K192" i="28"/>
  <c r="K191" i="28"/>
  <c r="K190" i="28"/>
  <c r="K189" i="28"/>
  <c r="K188" i="28"/>
  <c r="K187" i="28"/>
  <c r="K186" i="28"/>
  <c r="K185" i="28"/>
  <c r="K184" i="28"/>
  <c r="K183" i="28"/>
  <c r="K182" i="28"/>
  <c r="K181" i="28"/>
  <c r="K180" i="28"/>
  <c r="K179" i="28"/>
  <c r="K178" i="28"/>
  <c r="K177" i="28"/>
  <c r="K176" i="28"/>
  <c r="K175" i="28"/>
  <c r="K174" i="28"/>
  <c r="K173" i="28"/>
  <c r="K172" i="28"/>
  <c r="K171" i="28"/>
  <c r="K170" i="28"/>
  <c r="K169" i="28"/>
  <c r="K168" i="28"/>
  <c r="K167" i="28"/>
  <c r="K166" i="28"/>
  <c r="K165" i="28"/>
  <c r="K164" i="28"/>
  <c r="K163" i="28"/>
  <c r="K162" i="28"/>
  <c r="K161" i="28"/>
  <c r="K160" i="28"/>
  <c r="K159" i="28"/>
  <c r="K158" i="28"/>
  <c r="K157" i="28"/>
  <c r="K156" i="28"/>
  <c r="K155" i="28"/>
  <c r="K154" i="28"/>
  <c r="K153" i="28"/>
  <c r="K152" i="28"/>
  <c r="K151" i="28"/>
  <c r="K150" i="28"/>
  <c r="K149" i="28"/>
  <c r="K148" i="28"/>
  <c r="K147" i="28"/>
  <c r="K146" i="28"/>
  <c r="K145" i="28"/>
  <c r="K144" i="28"/>
  <c r="K143" i="28"/>
  <c r="K142" i="28"/>
  <c r="G138" i="28"/>
  <c r="D138" i="28"/>
  <c r="G133" i="28"/>
  <c r="D133" i="28"/>
  <c r="M132" i="28"/>
  <c r="G132" i="28"/>
  <c r="D132" i="28"/>
  <c r="E6" i="28" s="1"/>
  <c r="F6" i="28" s="1"/>
  <c r="H131" i="28"/>
  <c r="I131" i="28" s="1"/>
  <c r="E131" i="28"/>
  <c r="F131" i="28" s="1"/>
  <c r="H130" i="28"/>
  <c r="I130" i="28" s="1"/>
  <c r="E130" i="28"/>
  <c r="F130" i="28" s="1"/>
  <c r="H129" i="28"/>
  <c r="I129" i="28" s="1"/>
  <c r="E129" i="28"/>
  <c r="F129" i="28" s="1"/>
  <c r="K129" i="28" s="1"/>
  <c r="H128" i="28"/>
  <c r="I128" i="28" s="1"/>
  <c r="E128" i="28"/>
  <c r="F128" i="28" s="1"/>
  <c r="H127" i="28"/>
  <c r="I127" i="28" s="1"/>
  <c r="E127" i="28"/>
  <c r="F127" i="28" s="1"/>
  <c r="H126" i="28"/>
  <c r="I126" i="28" s="1"/>
  <c r="E126" i="28"/>
  <c r="F126" i="28" s="1"/>
  <c r="K126" i="28" s="1"/>
  <c r="H125" i="28"/>
  <c r="I125" i="28" s="1"/>
  <c r="E125" i="28"/>
  <c r="F125" i="28" s="1"/>
  <c r="H124" i="28"/>
  <c r="I124" i="28" s="1"/>
  <c r="E124" i="28"/>
  <c r="F124" i="28" s="1"/>
  <c r="H123" i="28"/>
  <c r="I123" i="28" s="1"/>
  <c r="E123" i="28"/>
  <c r="F123" i="28" s="1"/>
  <c r="H122" i="28"/>
  <c r="I122" i="28" s="1"/>
  <c r="E122" i="28"/>
  <c r="F122" i="28" s="1"/>
  <c r="H121" i="28"/>
  <c r="I121" i="28" s="1"/>
  <c r="E121" i="28"/>
  <c r="F121" i="28" s="1"/>
  <c r="H120" i="28"/>
  <c r="I120" i="28" s="1"/>
  <c r="E120" i="28"/>
  <c r="F120" i="28" s="1"/>
  <c r="H119" i="28"/>
  <c r="I119" i="28" s="1"/>
  <c r="E119" i="28"/>
  <c r="F119" i="28" s="1"/>
  <c r="H118" i="28"/>
  <c r="I118" i="28" s="1"/>
  <c r="E118" i="28"/>
  <c r="F118" i="28" s="1"/>
  <c r="H117" i="28"/>
  <c r="I117" i="28" s="1"/>
  <c r="E117" i="28"/>
  <c r="F117" i="28" s="1"/>
  <c r="H116" i="28"/>
  <c r="I116" i="28" s="1"/>
  <c r="E116" i="28"/>
  <c r="F116" i="28" s="1"/>
  <c r="H115" i="28"/>
  <c r="I115" i="28" s="1"/>
  <c r="E115" i="28"/>
  <c r="F115" i="28" s="1"/>
  <c r="H114" i="28"/>
  <c r="I114" i="28" s="1"/>
  <c r="E114" i="28"/>
  <c r="F114" i="28" s="1"/>
  <c r="H113" i="28"/>
  <c r="I113" i="28" s="1"/>
  <c r="E113" i="28"/>
  <c r="F113" i="28" s="1"/>
  <c r="H112" i="28"/>
  <c r="I112" i="28" s="1"/>
  <c r="E112" i="28"/>
  <c r="F112" i="28" s="1"/>
  <c r="H111" i="28"/>
  <c r="I111" i="28" s="1"/>
  <c r="E111" i="28"/>
  <c r="F111" i="28" s="1"/>
  <c r="H110" i="28"/>
  <c r="I110" i="28" s="1"/>
  <c r="E110" i="28"/>
  <c r="F110" i="28" s="1"/>
  <c r="H109" i="28"/>
  <c r="I109" i="28" s="1"/>
  <c r="E109" i="28"/>
  <c r="F109" i="28" s="1"/>
  <c r="H108" i="28"/>
  <c r="I108" i="28" s="1"/>
  <c r="E108" i="28"/>
  <c r="F108" i="28" s="1"/>
  <c r="H107" i="28"/>
  <c r="I107" i="28" s="1"/>
  <c r="E107" i="28"/>
  <c r="F107" i="28" s="1"/>
  <c r="H106" i="28"/>
  <c r="I106" i="28" s="1"/>
  <c r="E106" i="28"/>
  <c r="F106" i="28" s="1"/>
  <c r="H105" i="28"/>
  <c r="I105" i="28" s="1"/>
  <c r="E105" i="28"/>
  <c r="F105" i="28" s="1"/>
  <c r="H104" i="28"/>
  <c r="I104" i="28" s="1"/>
  <c r="E104" i="28"/>
  <c r="F104" i="28" s="1"/>
  <c r="H103" i="28"/>
  <c r="I103" i="28" s="1"/>
  <c r="E103" i="28"/>
  <c r="F103" i="28" s="1"/>
  <c r="H102" i="28"/>
  <c r="I102" i="28" s="1"/>
  <c r="E102" i="28"/>
  <c r="F102" i="28" s="1"/>
  <c r="K102" i="28" s="1"/>
  <c r="H101" i="28"/>
  <c r="I101" i="28" s="1"/>
  <c r="E101" i="28"/>
  <c r="F101" i="28" s="1"/>
  <c r="H100" i="28"/>
  <c r="I100" i="28" s="1"/>
  <c r="E100" i="28"/>
  <c r="F100" i="28" s="1"/>
  <c r="H99" i="28"/>
  <c r="I99" i="28" s="1"/>
  <c r="E99" i="28"/>
  <c r="F99" i="28" s="1"/>
  <c r="H98" i="28"/>
  <c r="I98" i="28" s="1"/>
  <c r="E98" i="28"/>
  <c r="F98" i="28" s="1"/>
  <c r="H97" i="28"/>
  <c r="I97" i="28" s="1"/>
  <c r="E97" i="28"/>
  <c r="F97" i="28" s="1"/>
  <c r="H96" i="28"/>
  <c r="I96" i="28" s="1"/>
  <c r="E96" i="28"/>
  <c r="F96" i="28" s="1"/>
  <c r="K96" i="28" s="1"/>
  <c r="H95" i="28"/>
  <c r="I95" i="28" s="1"/>
  <c r="E95" i="28"/>
  <c r="F95" i="28" s="1"/>
  <c r="H94" i="28"/>
  <c r="I94" i="28" s="1"/>
  <c r="F94" i="28"/>
  <c r="K94" i="28" s="1"/>
  <c r="E94" i="28"/>
  <c r="H93" i="28"/>
  <c r="I93" i="28" s="1"/>
  <c r="E93" i="28"/>
  <c r="F93" i="28" s="1"/>
  <c r="H92" i="28"/>
  <c r="I92" i="28" s="1"/>
  <c r="E92" i="28"/>
  <c r="F92" i="28" s="1"/>
  <c r="H91" i="28"/>
  <c r="I91" i="28" s="1"/>
  <c r="E91" i="28"/>
  <c r="F91" i="28" s="1"/>
  <c r="H90" i="28"/>
  <c r="I90" i="28" s="1"/>
  <c r="E90" i="28"/>
  <c r="F90" i="28" s="1"/>
  <c r="K90" i="28" s="1"/>
  <c r="H89" i="28"/>
  <c r="I89" i="28" s="1"/>
  <c r="E89" i="28"/>
  <c r="F89" i="28" s="1"/>
  <c r="K89" i="28" s="1"/>
  <c r="H88" i="28"/>
  <c r="I88" i="28" s="1"/>
  <c r="E88" i="28"/>
  <c r="F88" i="28" s="1"/>
  <c r="H87" i="28"/>
  <c r="I87" i="28" s="1"/>
  <c r="E87" i="28"/>
  <c r="F87" i="28" s="1"/>
  <c r="H86" i="28"/>
  <c r="I86" i="28" s="1"/>
  <c r="E86" i="28"/>
  <c r="F86" i="28" s="1"/>
  <c r="H85" i="28"/>
  <c r="I85" i="28" s="1"/>
  <c r="E85" i="28"/>
  <c r="F85" i="28" s="1"/>
  <c r="H84" i="28"/>
  <c r="I84" i="28" s="1"/>
  <c r="E84" i="28"/>
  <c r="F84" i="28" s="1"/>
  <c r="H83" i="28"/>
  <c r="I83" i="28" s="1"/>
  <c r="E83" i="28"/>
  <c r="F83" i="28" s="1"/>
  <c r="H82" i="28"/>
  <c r="I82" i="28" s="1"/>
  <c r="E82" i="28"/>
  <c r="F82" i="28" s="1"/>
  <c r="H81" i="28"/>
  <c r="I81" i="28" s="1"/>
  <c r="E81" i="28"/>
  <c r="F81" i="28" s="1"/>
  <c r="H80" i="28"/>
  <c r="I80" i="28" s="1"/>
  <c r="E80" i="28"/>
  <c r="F80" i="28" s="1"/>
  <c r="H79" i="28"/>
  <c r="I79" i="28" s="1"/>
  <c r="E79" i="28"/>
  <c r="F79" i="28" s="1"/>
  <c r="H78" i="28"/>
  <c r="I78" i="28" s="1"/>
  <c r="E78" i="28"/>
  <c r="F78" i="28" s="1"/>
  <c r="H77" i="28"/>
  <c r="I77" i="28" s="1"/>
  <c r="E77" i="28"/>
  <c r="F77" i="28" s="1"/>
  <c r="H76" i="28"/>
  <c r="I76" i="28" s="1"/>
  <c r="F76" i="28"/>
  <c r="E76" i="28"/>
  <c r="H75" i="28"/>
  <c r="I75" i="28" s="1"/>
  <c r="E75" i="28"/>
  <c r="F75" i="28" s="1"/>
  <c r="K75" i="28" s="1"/>
  <c r="H74" i="28"/>
  <c r="I74" i="28" s="1"/>
  <c r="E74" i="28"/>
  <c r="F74" i="28" s="1"/>
  <c r="H73" i="28"/>
  <c r="I73" i="28" s="1"/>
  <c r="E73" i="28"/>
  <c r="F73" i="28" s="1"/>
  <c r="H72" i="28"/>
  <c r="I72" i="28" s="1"/>
  <c r="E72" i="28"/>
  <c r="F72" i="28" s="1"/>
  <c r="H71" i="28"/>
  <c r="I71" i="28" s="1"/>
  <c r="E71" i="28"/>
  <c r="F71" i="28" s="1"/>
  <c r="H70" i="28"/>
  <c r="I70" i="28" s="1"/>
  <c r="E70" i="28"/>
  <c r="F70" i="28" s="1"/>
  <c r="H69" i="28"/>
  <c r="I69" i="28" s="1"/>
  <c r="E69" i="28"/>
  <c r="F69" i="28" s="1"/>
  <c r="H68" i="28"/>
  <c r="I68" i="28" s="1"/>
  <c r="E68" i="28"/>
  <c r="F68" i="28" s="1"/>
  <c r="H67" i="28"/>
  <c r="I67" i="28" s="1"/>
  <c r="E67" i="28"/>
  <c r="F67" i="28" s="1"/>
  <c r="H66" i="28"/>
  <c r="I66" i="28" s="1"/>
  <c r="E66" i="28"/>
  <c r="F66" i="28" s="1"/>
  <c r="H65" i="28"/>
  <c r="I65" i="28" s="1"/>
  <c r="E65" i="28"/>
  <c r="F65" i="28" s="1"/>
  <c r="H64" i="28"/>
  <c r="I64" i="28" s="1"/>
  <c r="E64" i="28"/>
  <c r="F64" i="28" s="1"/>
  <c r="K64" i="28" s="1"/>
  <c r="H63" i="28"/>
  <c r="I63" i="28" s="1"/>
  <c r="E63" i="28"/>
  <c r="F63" i="28" s="1"/>
  <c r="H62" i="28"/>
  <c r="I62" i="28" s="1"/>
  <c r="E62" i="28"/>
  <c r="F62" i="28" s="1"/>
  <c r="H61" i="28"/>
  <c r="I61" i="28" s="1"/>
  <c r="E61" i="28"/>
  <c r="F61" i="28" s="1"/>
  <c r="H60" i="28"/>
  <c r="I60" i="28" s="1"/>
  <c r="F60" i="28"/>
  <c r="E60" i="28"/>
  <c r="H59" i="28"/>
  <c r="I59" i="28" s="1"/>
  <c r="E59" i="28"/>
  <c r="F59" i="28" s="1"/>
  <c r="H58" i="28"/>
  <c r="I58" i="28" s="1"/>
  <c r="E58" i="28"/>
  <c r="F58" i="28" s="1"/>
  <c r="H57" i="28"/>
  <c r="I57" i="28" s="1"/>
  <c r="E57" i="28"/>
  <c r="F57" i="28" s="1"/>
  <c r="H56" i="28"/>
  <c r="I56" i="28" s="1"/>
  <c r="E56" i="28"/>
  <c r="F56" i="28" s="1"/>
  <c r="H55" i="28"/>
  <c r="I55" i="28" s="1"/>
  <c r="E55" i="28"/>
  <c r="F55" i="28" s="1"/>
  <c r="H54" i="28"/>
  <c r="I54" i="28" s="1"/>
  <c r="E54" i="28"/>
  <c r="F54" i="28" s="1"/>
  <c r="H53" i="28"/>
  <c r="I53" i="28" s="1"/>
  <c r="E53" i="28"/>
  <c r="F53" i="28" s="1"/>
  <c r="H52" i="28"/>
  <c r="I52" i="28" s="1"/>
  <c r="E52" i="28"/>
  <c r="F52" i="28" s="1"/>
  <c r="K52" i="28" s="1"/>
  <c r="H51" i="28"/>
  <c r="I51" i="28" s="1"/>
  <c r="E51" i="28"/>
  <c r="F51" i="28" s="1"/>
  <c r="K51" i="28" s="1"/>
  <c r="H50" i="28"/>
  <c r="I50" i="28" s="1"/>
  <c r="E50" i="28"/>
  <c r="F50" i="28" s="1"/>
  <c r="K50" i="28" s="1"/>
  <c r="H49" i="28"/>
  <c r="I49" i="28" s="1"/>
  <c r="E49" i="28"/>
  <c r="F49" i="28" s="1"/>
  <c r="H48" i="28"/>
  <c r="I48" i="28" s="1"/>
  <c r="E48" i="28"/>
  <c r="F48" i="28" s="1"/>
  <c r="H47" i="28"/>
  <c r="I47" i="28" s="1"/>
  <c r="E47" i="28"/>
  <c r="F47" i="28" s="1"/>
  <c r="H46" i="28"/>
  <c r="I46" i="28" s="1"/>
  <c r="E46" i="28"/>
  <c r="F46" i="28" s="1"/>
  <c r="H45" i="28"/>
  <c r="E45" i="28"/>
  <c r="H44" i="28"/>
  <c r="E44" i="28"/>
  <c r="H43" i="28"/>
  <c r="I43" i="28" s="1"/>
  <c r="E43" i="28"/>
  <c r="F43" i="28" s="1"/>
  <c r="K43" i="28" s="1"/>
  <c r="H42" i="28"/>
  <c r="I42" i="28" s="1"/>
  <c r="E42" i="28"/>
  <c r="F42" i="28" s="1"/>
  <c r="K42" i="28" s="1"/>
  <c r="H41" i="28"/>
  <c r="I41" i="28" s="1"/>
  <c r="E41" i="28"/>
  <c r="F41" i="28" s="1"/>
  <c r="H40" i="28"/>
  <c r="I40" i="28" s="1"/>
  <c r="E40" i="28"/>
  <c r="F40" i="28" s="1"/>
  <c r="H39" i="28"/>
  <c r="I39" i="28" s="1"/>
  <c r="F39" i="28"/>
  <c r="E39" i="28"/>
  <c r="H38" i="28"/>
  <c r="I38" i="28" s="1"/>
  <c r="E38" i="28"/>
  <c r="F38" i="28" s="1"/>
  <c r="K38" i="28" s="1"/>
  <c r="H37" i="28"/>
  <c r="I37" i="28" s="1"/>
  <c r="E37" i="28"/>
  <c r="F37" i="28" s="1"/>
  <c r="H36" i="28"/>
  <c r="I36" i="28" s="1"/>
  <c r="E36" i="28"/>
  <c r="H35" i="28"/>
  <c r="I35" i="28" s="1"/>
  <c r="E35" i="28"/>
  <c r="F35" i="28" s="1"/>
  <c r="H34" i="28"/>
  <c r="I34" i="28" s="1"/>
  <c r="E34" i="28"/>
  <c r="F34" i="28" s="1"/>
  <c r="H33" i="28"/>
  <c r="I33" i="28" s="1"/>
  <c r="E33" i="28"/>
  <c r="F33" i="28" s="1"/>
  <c r="H32" i="28"/>
  <c r="I32" i="28" s="1"/>
  <c r="E32" i="28"/>
  <c r="F32" i="28" s="1"/>
  <c r="H31" i="28"/>
  <c r="I31" i="28" s="1"/>
  <c r="E31" i="28"/>
  <c r="F31" i="28" s="1"/>
  <c r="H30" i="28"/>
  <c r="I30" i="28" s="1"/>
  <c r="E30" i="28"/>
  <c r="F30" i="28" s="1"/>
  <c r="I29" i="28"/>
  <c r="H29" i="28"/>
  <c r="E29" i="28"/>
  <c r="F29" i="28" s="1"/>
  <c r="H28" i="28"/>
  <c r="E28" i="28"/>
  <c r="H27" i="28"/>
  <c r="E27" i="28"/>
  <c r="H26" i="28"/>
  <c r="E26" i="28"/>
  <c r="H25" i="28"/>
  <c r="E25" i="28"/>
  <c r="H24" i="28"/>
  <c r="E24" i="28"/>
  <c r="H23" i="28"/>
  <c r="E23" i="28"/>
  <c r="H22" i="28"/>
  <c r="E22" i="28"/>
  <c r="H21" i="28"/>
  <c r="I21" i="28" s="1"/>
  <c r="E21" i="28"/>
  <c r="F21" i="28" s="1"/>
  <c r="K21" i="28" s="1"/>
  <c r="H20" i="28"/>
  <c r="I20" i="28" s="1"/>
  <c r="E20" i="28"/>
  <c r="F20" i="28" s="1"/>
  <c r="K20" i="28" s="1"/>
  <c r="H19" i="28"/>
  <c r="I19" i="28" s="1"/>
  <c r="E19" i="28"/>
  <c r="F19" i="28" s="1"/>
  <c r="H18" i="28"/>
  <c r="I18" i="28" s="1"/>
  <c r="E18" i="28"/>
  <c r="F18" i="28" s="1"/>
  <c r="H17" i="28"/>
  <c r="I17" i="28" s="1"/>
  <c r="E17" i="28"/>
  <c r="F17" i="28" s="1"/>
  <c r="H16" i="28"/>
  <c r="I16" i="28" s="1"/>
  <c r="E16" i="28"/>
  <c r="F16" i="28" s="1"/>
  <c r="H15" i="28"/>
  <c r="I15" i="28" s="1"/>
  <c r="E15" i="28"/>
  <c r="F15" i="28" s="1"/>
  <c r="H14" i="28"/>
  <c r="I14" i="28" s="1"/>
  <c r="E14" i="28"/>
  <c r="F14" i="28" s="1"/>
  <c r="H13" i="28"/>
  <c r="I13" i="28" s="1"/>
  <c r="E13" i="28"/>
  <c r="F13" i="28" s="1"/>
  <c r="H12" i="28"/>
  <c r="I12" i="28" s="1"/>
  <c r="E12" i="28"/>
  <c r="F12" i="28" s="1"/>
  <c r="G8" i="28"/>
  <c r="H57" i="27"/>
  <c r="G57" i="27"/>
  <c r="F57" i="27"/>
  <c r="E57" i="27"/>
  <c r="D57" i="27"/>
  <c r="I49" i="27"/>
  <c r="J49" i="27" s="1"/>
  <c r="I48" i="27"/>
  <c r="J48" i="27" s="1"/>
  <c r="I47" i="27"/>
  <c r="J47" i="27" s="1"/>
  <c r="I46" i="27"/>
  <c r="J46" i="27" s="1"/>
  <c r="I45" i="27"/>
  <c r="J45" i="27" s="1"/>
  <c r="I44" i="27"/>
  <c r="J44" i="27" s="1"/>
  <c r="I43" i="27"/>
  <c r="J43" i="27" s="1"/>
  <c r="I42" i="27"/>
  <c r="J42" i="27" s="1"/>
  <c r="I41" i="27"/>
  <c r="J41" i="27" s="1"/>
  <c r="I40" i="27"/>
  <c r="J40" i="27" s="1"/>
  <c r="I39" i="27"/>
  <c r="J39" i="27" s="1"/>
  <c r="I38" i="27"/>
  <c r="J38" i="27" s="1"/>
  <c r="I37" i="27"/>
  <c r="J37" i="27" s="1"/>
  <c r="I36" i="27"/>
  <c r="J36" i="27" s="1"/>
  <c r="I35" i="27"/>
  <c r="J35" i="27" s="1"/>
  <c r="I34" i="27"/>
  <c r="J34" i="27" s="1"/>
  <c r="I33" i="27"/>
  <c r="J33" i="27" s="1"/>
  <c r="I32" i="27"/>
  <c r="J32" i="27" s="1"/>
  <c r="I31" i="27"/>
  <c r="J31" i="27" s="1"/>
  <c r="I30" i="27"/>
  <c r="J30" i="27" s="1"/>
  <c r="I29" i="27"/>
  <c r="J29" i="27" s="1"/>
  <c r="G16" i="27"/>
  <c r="F16" i="27"/>
  <c r="E16" i="27"/>
  <c r="D16" i="27"/>
  <c r="G9" i="27"/>
  <c r="F9" i="27"/>
  <c r="E9" i="27"/>
  <c r="D9" i="27"/>
  <c r="AN9" i="3"/>
  <c r="AM9" i="3"/>
  <c r="X9" i="3"/>
  <c r="W9" i="3"/>
  <c r="BB8" i="3"/>
  <c r="BB9" i="3" s="1"/>
  <c r="BA8" i="3"/>
  <c r="BA9" i="3" s="1"/>
  <c r="AZ8" i="3"/>
  <c r="AZ9" i="3" s="1"/>
  <c r="AY8" i="3"/>
  <c r="AY9" i="3" s="1"/>
  <c r="AX8" i="3"/>
  <c r="AX9" i="3" s="1"/>
  <c r="AW8" i="3"/>
  <c r="AW9" i="3" s="1"/>
  <c r="AV8" i="3"/>
  <c r="AV9" i="3" s="1"/>
  <c r="AU8" i="3"/>
  <c r="AU9" i="3" s="1"/>
  <c r="AT8" i="3"/>
  <c r="AT9" i="3" s="1"/>
  <c r="AS8" i="3"/>
  <c r="AS9" i="3" s="1"/>
  <c r="AR8" i="3"/>
  <c r="AR9" i="3" s="1"/>
  <c r="AQ8" i="3"/>
  <c r="AQ9" i="3" s="1"/>
  <c r="AP8" i="3"/>
  <c r="AP9" i="3" s="1"/>
  <c r="AO8" i="3"/>
  <c r="AO9" i="3" s="1"/>
  <c r="AN8" i="3"/>
  <c r="AM8" i="3"/>
  <c r="AL8" i="3"/>
  <c r="AL9" i="3" s="1"/>
  <c r="AK8" i="3"/>
  <c r="AK9" i="3" s="1"/>
  <c r="AJ8" i="3"/>
  <c r="AJ9" i="3" s="1"/>
  <c r="AI8" i="3"/>
  <c r="AI9" i="3" s="1"/>
  <c r="AH8" i="3"/>
  <c r="AH9" i="3" s="1"/>
  <c r="AG8" i="3"/>
  <c r="AG9" i="3" s="1"/>
  <c r="AF8" i="3"/>
  <c r="AF9" i="3" s="1"/>
  <c r="AE8" i="3"/>
  <c r="AE9" i="3" s="1"/>
  <c r="AD8" i="3"/>
  <c r="AD9" i="3" s="1"/>
  <c r="AC8" i="3"/>
  <c r="AC9" i="3" s="1"/>
  <c r="AB8" i="3"/>
  <c r="AB9" i="3" s="1"/>
  <c r="AA8" i="3"/>
  <c r="AA9" i="3" s="1"/>
  <c r="Z8" i="3"/>
  <c r="Z9" i="3" s="1"/>
  <c r="Y8" i="3"/>
  <c r="Y9" i="3" s="1"/>
  <c r="X8" i="3"/>
  <c r="W8" i="3"/>
  <c r="V8" i="3"/>
  <c r="V9" i="3" s="1"/>
  <c r="U8" i="3"/>
  <c r="U9" i="3" s="1"/>
  <c r="K97" i="28" l="1"/>
  <c r="K83" i="28"/>
  <c r="K122" i="28"/>
  <c r="K30" i="28"/>
  <c r="K76" i="28"/>
  <c r="K107" i="28"/>
  <c r="K115" i="28"/>
  <c r="K62" i="28"/>
  <c r="K70" i="28"/>
  <c r="K77" i="28"/>
  <c r="K108" i="28"/>
  <c r="K109" i="28"/>
  <c r="F307" i="28"/>
  <c r="K307" i="28" s="1"/>
  <c r="E133" i="28"/>
  <c r="F133" i="28" s="1"/>
  <c r="K119" i="28"/>
  <c r="K130" i="28"/>
  <c r="K12" i="28"/>
  <c r="G307" i="28"/>
  <c r="K87" i="28"/>
  <c r="K98" i="28"/>
  <c r="K16" i="28"/>
  <c r="K37" i="28"/>
  <c r="K65" i="28"/>
  <c r="K66" i="28"/>
  <c r="K74" i="28"/>
  <c r="K121" i="28"/>
  <c r="K128" i="28"/>
  <c r="K303" i="28"/>
  <c r="K305" i="28"/>
  <c r="K114" i="28"/>
  <c r="K82" i="28"/>
  <c r="I307" i="28"/>
  <c r="E132" i="28"/>
  <c r="E134" i="28" s="1"/>
  <c r="K18" i="28"/>
  <c r="K72" i="28"/>
  <c r="K104" i="28"/>
  <c r="K39" i="28"/>
  <c r="K53" i="28"/>
  <c r="K79" i="28"/>
  <c r="K85" i="28"/>
  <c r="K111" i="28"/>
  <c r="K117" i="28"/>
  <c r="K17" i="28"/>
  <c r="K103" i="28"/>
  <c r="K31" i="28"/>
  <c r="K71" i="28"/>
  <c r="K13" i="28"/>
  <c r="K34" i="28"/>
  <c r="K48" i="28"/>
  <c r="K61" i="28"/>
  <c r="K67" i="28"/>
  <c r="K93" i="28"/>
  <c r="K99" i="28"/>
  <c r="K125" i="28"/>
  <c r="K131" i="28"/>
  <c r="K14" i="28"/>
  <c r="K68" i="28"/>
  <c r="K100" i="28"/>
  <c r="J132" i="28"/>
  <c r="H307" i="28"/>
  <c r="K35" i="28"/>
  <c r="K49" i="28"/>
  <c r="K304" i="28"/>
  <c r="K29" i="28"/>
  <c r="K88" i="28"/>
  <c r="K120" i="28"/>
  <c r="D307" i="28"/>
  <c r="E137" i="28" s="1"/>
  <c r="F137" i="28" s="1"/>
  <c r="K84" i="28"/>
  <c r="K116" i="28"/>
  <c r="E307" i="28"/>
  <c r="K59" i="28"/>
  <c r="K78" i="28"/>
  <c r="K91" i="28"/>
  <c r="K110" i="28"/>
  <c r="K123" i="28"/>
  <c r="K32" i="28"/>
  <c r="K46" i="28"/>
  <c r="K33" i="28"/>
  <c r="K47" i="28"/>
  <c r="K60" i="28"/>
  <c r="K92" i="28"/>
  <c r="K124" i="28"/>
  <c r="K19" i="28"/>
  <c r="K40" i="28"/>
  <c r="K54" i="28"/>
  <c r="K73" i="28"/>
  <c r="K80" i="28"/>
  <c r="K86" i="28"/>
  <c r="K105" i="28"/>
  <c r="K112" i="28"/>
  <c r="K118" i="28"/>
  <c r="K106" i="28"/>
  <c r="K41" i="28"/>
  <c r="K55" i="28"/>
  <c r="K81" i="28"/>
  <c r="K113" i="28"/>
  <c r="K15" i="28"/>
  <c r="K63" i="28"/>
  <c r="K69" i="28"/>
  <c r="K95" i="28"/>
  <c r="K101" i="28"/>
  <c r="K127" i="28"/>
  <c r="H133" i="28"/>
  <c r="I133" i="28" s="1"/>
  <c r="H6" i="28"/>
  <c r="F36" i="28"/>
  <c r="K36" i="28" s="1"/>
  <c r="E7" i="28"/>
  <c r="E8" i="28" s="1"/>
  <c r="D134" i="28"/>
  <c r="K302" i="28"/>
  <c r="G134" i="28"/>
  <c r="H132" i="28"/>
  <c r="I132" i="28" s="1"/>
  <c r="F132" i="28" l="1"/>
  <c r="E138" i="28"/>
  <c r="F138" i="28" s="1"/>
  <c r="H137" i="28"/>
  <c r="H7" i="28"/>
  <c r="F7" i="28"/>
  <c r="K133" i="28"/>
  <c r="K132" i="28"/>
  <c r="F134" i="28"/>
  <c r="H8" i="28"/>
  <c r="F8" i="28"/>
  <c r="H134" i="28"/>
  <c r="I134" i="28" s="1"/>
  <c r="H138" i="28" l="1"/>
  <c r="K134" i="28"/>
  <c r="K319" i="28" s="1"/>
  <c r="G138" i="35" l="1"/>
  <c r="G139" i="35"/>
  <c r="G140" i="35"/>
  <c r="G141" i="35"/>
  <c r="G142" i="35"/>
  <c r="G153" i="35"/>
  <c r="G154" i="35"/>
  <c r="G97" i="35"/>
  <c r="G98" i="35"/>
  <c r="G83" i="35" l="1"/>
  <c r="G84" i="35"/>
  <c r="G85" i="35"/>
  <c r="G86" i="35" s="1"/>
  <c r="J58" i="32" l="1"/>
  <c r="J64" i="32"/>
  <c r="J67" i="32"/>
  <c r="J72" i="32"/>
  <c r="J74" i="32"/>
  <c r="J76" i="32"/>
  <c r="I82" i="32"/>
  <c r="I81" i="32"/>
  <c r="I80" i="32"/>
  <c r="I79" i="32"/>
  <c r="S77" i="32"/>
  <c r="I67" i="32"/>
  <c r="S67" i="32" s="1"/>
  <c r="I69" i="32"/>
  <c r="S69" i="32" s="1"/>
  <c r="I70" i="32"/>
  <c r="S70" i="32" s="1"/>
  <c r="I71" i="32"/>
  <c r="S71" i="32" s="1"/>
  <c r="I72" i="32"/>
  <c r="S72" i="32" s="1"/>
  <c r="I73" i="32"/>
  <c r="S73" i="32" s="1"/>
  <c r="I74" i="32"/>
  <c r="S74" i="32" s="1"/>
  <c r="I75" i="32"/>
  <c r="S75" i="32" s="1"/>
  <c r="I76" i="32"/>
  <c r="S76" i="32" s="1"/>
  <c r="I77" i="32"/>
  <c r="I58" i="32"/>
  <c r="S58" i="32" s="1"/>
  <c r="I60" i="32"/>
  <c r="S60" i="32" s="1"/>
  <c r="I64" i="32"/>
  <c r="S64" i="32" s="1"/>
  <c r="I53" i="32"/>
  <c r="S53" i="32" s="1"/>
  <c r="I52" i="32"/>
  <c r="S52" i="32" s="1"/>
  <c r="I51" i="32"/>
  <c r="S51" i="32" s="1"/>
  <c r="G40" i="35"/>
  <c r="G41" i="35" s="1"/>
  <c r="G26" i="35" l="1"/>
  <c r="G27" i="35"/>
  <c r="G28" i="35"/>
  <c r="G29" i="35"/>
  <c r="F112" i="40" l="1"/>
  <c r="E112" i="40"/>
  <c r="G111" i="40"/>
  <c r="G86" i="40"/>
  <c r="I68" i="32" l="1"/>
  <c r="S68" i="32" s="1"/>
  <c r="I66" i="32"/>
  <c r="S66" i="32" s="1"/>
  <c r="I65" i="32"/>
  <c r="S65" i="32" s="1"/>
  <c r="I63" i="32"/>
  <c r="S63" i="32" s="1"/>
  <c r="I62" i="32"/>
  <c r="S62" i="32" s="1"/>
  <c r="I61" i="32"/>
  <c r="S61" i="32" s="1"/>
  <c r="I59" i="32"/>
  <c r="S59" i="32" s="1"/>
  <c r="I57" i="32"/>
  <c r="S57" i="32" s="1"/>
  <c r="I56" i="32"/>
  <c r="S56" i="32" s="1"/>
  <c r="I55" i="32"/>
  <c r="S55" i="32" l="1"/>
  <c r="I54" i="32"/>
  <c r="S54" i="32" s="1"/>
  <c r="E11" i="32"/>
  <c r="E10" i="32"/>
  <c r="H26" i="32"/>
  <c r="Q303" i="28" l="1"/>
  <c r="U8" i="29" l="1"/>
  <c r="E14" i="29"/>
  <c r="E12" i="29"/>
  <c r="E11" i="29"/>
  <c r="E10" i="29"/>
  <c r="E9" i="29"/>
  <c r="E15" i="29" s="1"/>
  <c r="J29" i="41"/>
  <c r="Y10" i="29" l="1"/>
  <c r="Y13" i="29"/>
  <c r="Y9" i="29"/>
  <c r="Y11" i="29"/>
  <c r="Y12" i="29"/>
  <c r="Y14" i="29"/>
  <c r="J30" i="41" l="1"/>
  <c r="E4" i="43" l="1"/>
  <c r="D76" i="42"/>
  <c r="D73" i="42"/>
  <c r="L66" i="41"/>
  <c r="A66" i="41"/>
  <c r="E47" i="41"/>
  <c r="E46" i="41" s="1"/>
  <c r="E45" i="41"/>
  <c r="E57" i="41" s="1"/>
  <c r="E42" i="41"/>
  <c r="E63" i="41" s="1"/>
  <c r="E41" i="41"/>
  <c r="E62" i="41" s="1"/>
  <c r="E40" i="41"/>
  <c r="E39" i="41"/>
  <c r="E61" i="41" s="1"/>
  <c r="E38" i="41"/>
  <c r="E37" i="41"/>
  <c r="E60" i="41" s="1"/>
  <c r="E36" i="41"/>
  <c r="E59" i="41" s="1"/>
  <c r="E34" i="41"/>
  <c r="E56" i="41" s="1"/>
  <c r="E33" i="41"/>
  <c r="E55" i="41" s="1"/>
  <c r="E32" i="41"/>
  <c r="E27" i="41"/>
  <c r="E26" i="41"/>
  <c r="I25" i="41"/>
  <c r="E25" i="41"/>
  <c r="C25" i="41"/>
  <c r="E24" i="41"/>
  <c r="E23" i="41" s="1"/>
  <c r="C24" i="41"/>
  <c r="C23" i="41"/>
  <c r="E22" i="41"/>
  <c r="C22" i="41"/>
  <c r="E21" i="41"/>
  <c r="C21" i="41"/>
  <c r="E20" i="41"/>
  <c r="E19" i="41" s="1"/>
  <c r="C19" i="41"/>
  <c r="C28" i="41" s="1"/>
  <c r="E31" i="41" l="1"/>
  <c r="E54" i="41"/>
  <c r="E28" i="41"/>
  <c r="E53" i="41"/>
  <c r="E58" i="41"/>
  <c r="E35" i="41"/>
  <c r="E43" i="41" s="1"/>
  <c r="E44" i="41"/>
  <c r="E48" i="41" l="1"/>
  <c r="E64" i="41"/>
  <c r="G110" i="40" l="1"/>
  <c r="G109" i="40"/>
  <c r="G108" i="40"/>
  <c r="G107" i="40"/>
  <c r="G106" i="40"/>
  <c r="G105" i="40"/>
  <c r="G104" i="40"/>
  <c r="G103" i="40"/>
  <c r="G102" i="40"/>
  <c r="G101" i="40"/>
  <c r="G100" i="40"/>
  <c r="G99" i="40"/>
  <c r="G98" i="40"/>
  <c r="G112" i="40" s="1"/>
  <c r="F115" i="40"/>
  <c r="E115" i="40"/>
  <c r="G85" i="40"/>
  <c r="G84" i="40"/>
  <c r="G83" i="40"/>
  <c r="G82" i="40"/>
  <c r="G81" i="40"/>
  <c r="G80" i="40"/>
  <c r="G79" i="40"/>
  <c r="G78" i="40"/>
  <c r="G77" i="40"/>
  <c r="G76" i="40"/>
  <c r="G75" i="40"/>
  <c r="G74" i="40"/>
  <c r="G73" i="40"/>
  <c r="G72" i="40"/>
  <c r="G71" i="40"/>
  <c r="G70" i="40"/>
  <c r="G69" i="40"/>
  <c r="G68" i="40"/>
  <c r="G67" i="40"/>
  <c r="G66" i="40"/>
  <c r="G65" i="40"/>
  <c r="G64" i="40"/>
  <c r="G63" i="40"/>
  <c r="G62" i="40"/>
  <c r="G61" i="40"/>
  <c r="G60" i="40"/>
  <c r="G59" i="40"/>
  <c r="G58" i="40"/>
  <c r="G57" i="40"/>
  <c r="G56" i="40"/>
  <c r="G55" i="40"/>
  <c r="G54" i="40"/>
  <c r="G53" i="40"/>
  <c r="G52" i="40"/>
  <c r="G51" i="40"/>
  <c r="G50" i="40"/>
  <c r="G49" i="40"/>
  <c r="G48" i="40"/>
  <c r="G47" i="40"/>
  <c r="G46" i="40"/>
  <c r="G45" i="40"/>
  <c r="G44" i="40"/>
  <c r="G43" i="40"/>
  <c r="G42" i="40"/>
  <c r="G41" i="40"/>
  <c r="G40" i="40"/>
  <c r="G39" i="40"/>
  <c r="G38" i="40"/>
  <c r="G37" i="40"/>
  <c r="G36" i="40"/>
  <c r="G35" i="40"/>
  <c r="G34" i="40"/>
  <c r="G33" i="40"/>
  <c r="G32" i="40"/>
  <c r="G29" i="40"/>
  <c r="G28" i="40"/>
  <c r="G27" i="40"/>
  <c r="G26" i="40"/>
  <c r="G25" i="40"/>
  <c r="G24" i="40"/>
  <c r="G23" i="40"/>
  <c r="G22" i="40"/>
  <c r="G21" i="40"/>
  <c r="G20" i="40"/>
  <c r="G19" i="40"/>
  <c r="G18" i="40"/>
  <c r="G17" i="40"/>
  <c r="G14" i="40"/>
  <c r="G13" i="40"/>
  <c r="G12" i="40"/>
  <c r="G11" i="40"/>
  <c r="G10" i="40"/>
  <c r="G9" i="40"/>
  <c r="G8" i="40"/>
  <c r="G7" i="40"/>
  <c r="AD169" i="35"/>
  <c r="AC169" i="35"/>
  <c r="AB169" i="35"/>
  <c r="AA169" i="35"/>
  <c r="Z169" i="35"/>
  <c r="Y169" i="35"/>
  <c r="X169" i="35"/>
  <c r="W169" i="35"/>
  <c r="V169" i="35"/>
  <c r="U169" i="35"/>
  <c r="T169" i="35"/>
  <c r="S169" i="35"/>
  <c r="AD168" i="35"/>
  <c r="AC168" i="35"/>
  <c r="AB168" i="35"/>
  <c r="AA168" i="35"/>
  <c r="Z168" i="35"/>
  <c r="Y168" i="35"/>
  <c r="Y166" i="35" s="1"/>
  <c r="X168" i="35"/>
  <c r="X165" i="35" s="1"/>
  <c r="W168" i="35"/>
  <c r="W166" i="35" s="1"/>
  <c r="T168" i="35"/>
  <c r="Z166" i="35"/>
  <c r="Z165" i="35"/>
  <c r="W165" i="35"/>
  <c r="O163" i="35"/>
  <c r="N163" i="35"/>
  <c r="O162" i="35"/>
  <c r="N162" i="35"/>
  <c r="L162" i="35"/>
  <c r="O161" i="35"/>
  <c r="N161" i="35"/>
  <c r="O160" i="35"/>
  <c r="N160" i="35"/>
  <c r="O159" i="35"/>
  <c r="N159" i="35"/>
  <c r="O158" i="35"/>
  <c r="K158" i="35"/>
  <c r="O157" i="35"/>
  <c r="N157" i="35"/>
  <c r="L157" i="35"/>
  <c r="K157" i="35"/>
  <c r="E154" i="35"/>
  <c r="D154" i="35"/>
  <c r="C154" i="35"/>
  <c r="F153" i="35"/>
  <c r="F154" i="35" s="1"/>
  <c r="E153" i="35"/>
  <c r="D153" i="35"/>
  <c r="C153" i="35"/>
  <c r="O152" i="35"/>
  <c r="O150" i="35"/>
  <c r="O149" i="35"/>
  <c r="M160" i="35" s="1"/>
  <c r="O148" i="35"/>
  <c r="M159" i="35" s="1"/>
  <c r="O147" i="35"/>
  <c r="M158" i="35" s="1"/>
  <c r="C147" i="35"/>
  <c r="N158" i="35" s="1"/>
  <c r="O146" i="35"/>
  <c r="M157" i="35" s="1"/>
  <c r="D141" i="35"/>
  <c r="D142" i="35" s="1"/>
  <c r="E140" i="35"/>
  <c r="D140" i="35"/>
  <c r="F139" i="35"/>
  <c r="E139" i="35"/>
  <c r="F138" i="35"/>
  <c r="V168" i="35" s="1"/>
  <c r="E138" i="35"/>
  <c r="U168" i="35" s="1"/>
  <c r="D138" i="35"/>
  <c r="D139" i="35" s="1"/>
  <c r="C138" i="35"/>
  <c r="S168" i="35" s="1"/>
  <c r="O134" i="35"/>
  <c r="O132" i="35"/>
  <c r="O131" i="35"/>
  <c r="N131" i="35"/>
  <c r="M131" i="35"/>
  <c r="L131" i="35"/>
  <c r="K131" i="35"/>
  <c r="J131" i="35"/>
  <c r="I131" i="35"/>
  <c r="H131" i="35"/>
  <c r="G131" i="35"/>
  <c r="F131" i="35"/>
  <c r="E131" i="35"/>
  <c r="D131" i="35"/>
  <c r="C131" i="35"/>
  <c r="N130" i="35"/>
  <c r="M130" i="35"/>
  <c r="L130" i="35"/>
  <c r="K130" i="35"/>
  <c r="J130" i="35"/>
  <c r="I130" i="35"/>
  <c r="H130" i="35"/>
  <c r="G130" i="35"/>
  <c r="F130" i="35"/>
  <c r="E130" i="35"/>
  <c r="D130" i="35"/>
  <c r="C130" i="35"/>
  <c r="O129" i="35"/>
  <c r="O130" i="35" s="1"/>
  <c r="N128" i="35"/>
  <c r="M128" i="35"/>
  <c r="L128" i="35"/>
  <c r="K128" i="35"/>
  <c r="J128" i="35"/>
  <c r="I128" i="35"/>
  <c r="H128" i="35"/>
  <c r="G128" i="35"/>
  <c r="F128" i="35"/>
  <c r="E128" i="35"/>
  <c r="D128" i="35"/>
  <c r="C128" i="35"/>
  <c r="O127" i="35"/>
  <c r="N127" i="35"/>
  <c r="M127" i="35"/>
  <c r="L127" i="35"/>
  <c r="K127" i="35"/>
  <c r="J127" i="35"/>
  <c r="I127" i="35"/>
  <c r="H127" i="35"/>
  <c r="G127" i="35"/>
  <c r="F127" i="35"/>
  <c r="E127" i="35"/>
  <c r="D127" i="35"/>
  <c r="C127" i="35"/>
  <c r="O126" i="35"/>
  <c r="O128" i="35" s="1"/>
  <c r="N125" i="35"/>
  <c r="M125" i="35"/>
  <c r="L125" i="35"/>
  <c r="K125" i="35"/>
  <c r="J125" i="35"/>
  <c r="I125" i="35"/>
  <c r="H125" i="35"/>
  <c r="G125" i="35"/>
  <c r="F125" i="35"/>
  <c r="E125" i="35"/>
  <c r="D125" i="35"/>
  <c r="C125" i="35"/>
  <c r="N124" i="35"/>
  <c r="M124" i="35"/>
  <c r="L124" i="35"/>
  <c r="K124" i="35"/>
  <c r="J124" i="35"/>
  <c r="I124" i="35"/>
  <c r="H124" i="35"/>
  <c r="G124" i="35"/>
  <c r="F124" i="35"/>
  <c r="E124" i="35"/>
  <c r="D124" i="35"/>
  <c r="C124" i="35"/>
  <c r="O123" i="35"/>
  <c r="O125" i="35" s="1"/>
  <c r="N122" i="35"/>
  <c r="M122" i="35"/>
  <c r="L122" i="35"/>
  <c r="K122" i="35"/>
  <c r="J122" i="35"/>
  <c r="I122" i="35"/>
  <c r="H122" i="35"/>
  <c r="G122" i="35"/>
  <c r="F122" i="35"/>
  <c r="E122" i="35"/>
  <c r="D122" i="35"/>
  <c r="C122" i="35"/>
  <c r="N121" i="35"/>
  <c r="M121" i="35"/>
  <c r="L121" i="35"/>
  <c r="K121" i="35"/>
  <c r="J121" i="35"/>
  <c r="I121" i="35"/>
  <c r="H121" i="35"/>
  <c r="G121" i="35"/>
  <c r="F121" i="35"/>
  <c r="E121" i="35"/>
  <c r="D121" i="35"/>
  <c r="C121" i="35"/>
  <c r="O120" i="35"/>
  <c r="O122" i="35" s="1"/>
  <c r="AD111" i="35"/>
  <c r="AC111" i="35"/>
  <c r="AB111" i="35"/>
  <c r="AA111" i="35"/>
  <c r="Z111" i="35"/>
  <c r="Y111" i="35"/>
  <c r="X111" i="35"/>
  <c r="W111" i="35"/>
  <c r="V111" i="35"/>
  <c r="U111" i="35"/>
  <c r="T111" i="35"/>
  <c r="S111" i="35"/>
  <c r="AD110" i="35"/>
  <c r="AC110" i="35"/>
  <c r="AB110" i="35"/>
  <c r="AA110" i="35"/>
  <c r="Z110" i="35"/>
  <c r="Y110" i="35"/>
  <c r="X110" i="35"/>
  <c r="W110" i="35"/>
  <c r="V110" i="35"/>
  <c r="U110" i="35"/>
  <c r="T110" i="35"/>
  <c r="S110" i="35"/>
  <c r="O107" i="35"/>
  <c r="N107" i="35"/>
  <c r="O106" i="35"/>
  <c r="N106" i="35"/>
  <c r="L106" i="35"/>
  <c r="O105" i="35"/>
  <c r="N105" i="35"/>
  <c r="O104" i="35"/>
  <c r="N104" i="35"/>
  <c r="K104" i="35"/>
  <c r="O103" i="35"/>
  <c r="N103" i="35"/>
  <c r="O102" i="35"/>
  <c r="N102" i="35"/>
  <c r="L102" i="35"/>
  <c r="K102" i="35"/>
  <c r="O101" i="35"/>
  <c r="N101" i="35"/>
  <c r="M101" i="35"/>
  <c r="K101" i="35"/>
  <c r="F98" i="35"/>
  <c r="F97" i="35"/>
  <c r="E97" i="35"/>
  <c r="E98" i="35" s="1"/>
  <c r="D97" i="35"/>
  <c r="D98" i="35" s="1"/>
  <c r="C97" i="35"/>
  <c r="C98" i="35" s="1"/>
  <c r="O96" i="35"/>
  <c r="O97" i="35" s="1"/>
  <c r="O98" i="35" s="1"/>
  <c r="O94" i="35"/>
  <c r="O93" i="35"/>
  <c r="M104" i="35" s="1"/>
  <c r="O92" i="35"/>
  <c r="L103" i="35" s="1"/>
  <c r="O91" i="35"/>
  <c r="M102" i="35" s="1"/>
  <c r="O90" i="35"/>
  <c r="L101" i="35" s="1"/>
  <c r="F86" i="35"/>
  <c r="O85" i="35"/>
  <c r="O86" i="35" s="1"/>
  <c r="F85" i="35"/>
  <c r="E85" i="35"/>
  <c r="E86" i="35" s="1"/>
  <c r="D85" i="35"/>
  <c r="D86" i="35" s="1"/>
  <c r="C85" i="35"/>
  <c r="C86" i="35" s="1"/>
  <c r="F84" i="35"/>
  <c r="E84" i="35"/>
  <c r="D84" i="35"/>
  <c r="C84" i="35"/>
  <c r="O82" i="35"/>
  <c r="O84" i="35" s="1"/>
  <c r="O78" i="35"/>
  <c r="O76" i="35"/>
  <c r="N75" i="35"/>
  <c r="M75" i="35"/>
  <c r="L75" i="35"/>
  <c r="K75" i="35"/>
  <c r="J75" i="35"/>
  <c r="I75" i="35"/>
  <c r="H75" i="35"/>
  <c r="G75" i="35"/>
  <c r="F75" i="35"/>
  <c r="E75" i="35"/>
  <c r="D75" i="35"/>
  <c r="O74" i="35"/>
  <c r="N74" i="35"/>
  <c r="M74" i="35"/>
  <c r="L74" i="35"/>
  <c r="K74" i="35"/>
  <c r="J74" i="35"/>
  <c r="I74" i="35"/>
  <c r="H74" i="35"/>
  <c r="G74" i="35"/>
  <c r="F74" i="35"/>
  <c r="E74" i="35"/>
  <c r="D74" i="35"/>
  <c r="C74" i="35"/>
  <c r="O73" i="35"/>
  <c r="O75" i="35" s="1"/>
  <c r="C73" i="35"/>
  <c r="C75" i="35" s="1"/>
  <c r="N72" i="35"/>
  <c r="M72" i="35"/>
  <c r="L72" i="35"/>
  <c r="K72" i="35"/>
  <c r="J72" i="35"/>
  <c r="I72" i="35"/>
  <c r="H72" i="35"/>
  <c r="G72" i="35"/>
  <c r="F72" i="35"/>
  <c r="N71" i="35"/>
  <c r="M71" i="35"/>
  <c r="L71" i="35"/>
  <c r="K71" i="35"/>
  <c r="J71" i="35"/>
  <c r="I71" i="35"/>
  <c r="H71" i="35"/>
  <c r="G71" i="35"/>
  <c r="F71" i="35"/>
  <c r="E70" i="35"/>
  <c r="E72" i="35" s="1"/>
  <c r="D70" i="35"/>
  <c r="D72" i="35" s="1"/>
  <c r="C70" i="35"/>
  <c r="O70" i="35" s="1"/>
  <c r="N69" i="35"/>
  <c r="M69" i="35"/>
  <c r="L69" i="35"/>
  <c r="K69" i="35"/>
  <c r="J69" i="35"/>
  <c r="I69" i="35"/>
  <c r="H69" i="35"/>
  <c r="G69" i="35"/>
  <c r="F69" i="35"/>
  <c r="E69" i="35"/>
  <c r="D69" i="35"/>
  <c r="C69" i="35"/>
  <c r="N68" i="35"/>
  <c r="M68" i="35"/>
  <c r="L68" i="35"/>
  <c r="K68" i="35"/>
  <c r="J68" i="35"/>
  <c r="I68" i="35"/>
  <c r="H68" i="35"/>
  <c r="G68" i="35"/>
  <c r="F68" i="35"/>
  <c r="E68" i="35"/>
  <c r="D68" i="35"/>
  <c r="C68" i="35"/>
  <c r="O67" i="35"/>
  <c r="O69" i="35" s="1"/>
  <c r="O66" i="35"/>
  <c r="N66" i="35"/>
  <c r="M66" i="35"/>
  <c r="L66" i="35"/>
  <c r="K66" i="35"/>
  <c r="J66" i="35"/>
  <c r="I66" i="35"/>
  <c r="H66" i="35"/>
  <c r="G66" i="35"/>
  <c r="F66" i="35"/>
  <c r="E66" i="35"/>
  <c r="D66" i="35"/>
  <c r="C66" i="35"/>
  <c r="N65" i="35"/>
  <c r="M65" i="35"/>
  <c r="L65" i="35"/>
  <c r="K65" i="35"/>
  <c r="J65" i="35"/>
  <c r="I65" i="35"/>
  <c r="H65" i="35"/>
  <c r="G65" i="35"/>
  <c r="F65" i="35"/>
  <c r="E65" i="35"/>
  <c r="D65" i="35"/>
  <c r="C65" i="35"/>
  <c r="O64" i="35"/>
  <c r="O65" i="35" s="1"/>
  <c r="AC53" i="35"/>
  <c r="AB53" i="35"/>
  <c r="AA53" i="35"/>
  <c r="Z53" i="35"/>
  <c r="Y53" i="35"/>
  <c r="X53" i="35"/>
  <c r="W53" i="35"/>
  <c r="V53" i="35"/>
  <c r="T53" i="35"/>
  <c r="S53" i="35"/>
  <c r="R53" i="35"/>
  <c r="AC52" i="35"/>
  <c r="AB52" i="35"/>
  <c r="AA52" i="35"/>
  <c r="Z52" i="35"/>
  <c r="Y52" i="35"/>
  <c r="X52" i="35"/>
  <c r="W52" i="35"/>
  <c r="V52" i="35"/>
  <c r="U52" i="35"/>
  <c r="T52" i="35"/>
  <c r="S52" i="35"/>
  <c r="R52" i="35"/>
  <c r="O49" i="35"/>
  <c r="N49" i="35"/>
  <c r="O48" i="35"/>
  <c r="N48" i="35"/>
  <c r="O47" i="35"/>
  <c r="N47" i="35"/>
  <c r="K47" i="35"/>
  <c r="O46" i="35"/>
  <c r="N46" i="35"/>
  <c r="K46" i="35"/>
  <c r="O44" i="35"/>
  <c r="N44" i="35"/>
  <c r="E40" i="35"/>
  <c r="E41" i="35" s="1"/>
  <c r="D40" i="35"/>
  <c r="D41" i="35" s="1"/>
  <c r="C40" i="35"/>
  <c r="C41" i="35" s="1"/>
  <c r="N50" i="35"/>
  <c r="R38" i="35"/>
  <c r="C83" i="35" s="1"/>
  <c r="O38" i="35"/>
  <c r="O37" i="35"/>
  <c r="O36" i="35"/>
  <c r="M47" i="35" s="1"/>
  <c r="O35" i="35"/>
  <c r="M46" i="35" s="1"/>
  <c r="C34" i="35"/>
  <c r="O45" i="35" s="1"/>
  <c r="B34" i="35"/>
  <c r="K45" i="35" s="1"/>
  <c r="O33" i="35"/>
  <c r="L44" i="35" s="1"/>
  <c r="B33" i="35"/>
  <c r="K44" i="35" s="1"/>
  <c r="E29" i="35"/>
  <c r="F28" i="35"/>
  <c r="F29" i="35" s="1"/>
  <c r="E28" i="35"/>
  <c r="D28" i="35"/>
  <c r="D29" i="35" s="1"/>
  <c r="C28" i="35"/>
  <c r="C29" i="35" s="1"/>
  <c r="F27" i="35"/>
  <c r="E27" i="35"/>
  <c r="D27" i="35"/>
  <c r="C27" i="35"/>
  <c r="F26" i="35"/>
  <c r="E26" i="35"/>
  <c r="D26" i="35"/>
  <c r="C26" i="35"/>
  <c r="O25" i="35"/>
  <c r="O27" i="35" s="1"/>
  <c r="N18" i="35"/>
  <c r="M18" i="35"/>
  <c r="L18" i="35"/>
  <c r="K18" i="35"/>
  <c r="J18" i="35"/>
  <c r="I18" i="35"/>
  <c r="H18" i="35"/>
  <c r="G18" i="35"/>
  <c r="F18" i="35"/>
  <c r="E18" i="35"/>
  <c r="D18" i="35"/>
  <c r="C18" i="35"/>
  <c r="O17" i="35"/>
  <c r="N17" i="35"/>
  <c r="M17" i="35"/>
  <c r="L17" i="35"/>
  <c r="K17" i="35"/>
  <c r="J17" i="35"/>
  <c r="I17" i="35"/>
  <c r="H17" i="35"/>
  <c r="G17" i="35"/>
  <c r="F17" i="35"/>
  <c r="E17" i="35"/>
  <c r="D17" i="35"/>
  <c r="C17" i="35"/>
  <c r="O16" i="35"/>
  <c r="O18" i="35" s="1"/>
  <c r="N15" i="35"/>
  <c r="M15" i="35"/>
  <c r="L15" i="35"/>
  <c r="K15" i="35"/>
  <c r="J15" i="35"/>
  <c r="I15" i="35"/>
  <c r="H15" i="35"/>
  <c r="G15" i="35"/>
  <c r="F15" i="35"/>
  <c r="E15" i="35"/>
  <c r="D15" i="35"/>
  <c r="C15" i="35"/>
  <c r="N14" i="35"/>
  <c r="M14" i="35"/>
  <c r="L14" i="35"/>
  <c r="K14" i="35"/>
  <c r="J14" i="35"/>
  <c r="I14" i="35"/>
  <c r="H14" i="35"/>
  <c r="G14" i="35"/>
  <c r="F14" i="35"/>
  <c r="E14" i="35"/>
  <c r="D14" i="35"/>
  <c r="C14" i="35"/>
  <c r="O13" i="35"/>
  <c r="O15" i="35" s="1"/>
  <c r="N12" i="35"/>
  <c r="M12" i="35"/>
  <c r="L12" i="35"/>
  <c r="K12" i="35"/>
  <c r="J12" i="35"/>
  <c r="I12" i="35"/>
  <c r="H12" i="35"/>
  <c r="G12" i="35"/>
  <c r="F12" i="35"/>
  <c r="E12" i="35"/>
  <c r="D12" i="35"/>
  <c r="C12" i="35"/>
  <c r="N11" i="35"/>
  <c r="M11" i="35"/>
  <c r="L11" i="35"/>
  <c r="K11" i="35"/>
  <c r="J11" i="35"/>
  <c r="I11" i="35"/>
  <c r="H11" i="35"/>
  <c r="G11" i="35"/>
  <c r="F11" i="35"/>
  <c r="E11" i="35"/>
  <c r="D11" i="35"/>
  <c r="C11" i="35"/>
  <c r="O10" i="35"/>
  <c r="O12" i="35" s="1"/>
  <c r="O9" i="35"/>
  <c r="N9" i="35"/>
  <c r="M9" i="35"/>
  <c r="L9" i="35"/>
  <c r="K9" i="35"/>
  <c r="J9" i="35"/>
  <c r="I9" i="35"/>
  <c r="H9" i="35"/>
  <c r="G9" i="35"/>
  <c r="F9" i="35"/>
  <c r="E9" i="35"/>
  <c r="D9" i="35"/>
  <c r="C9" i="35"/>
  <c r="N8" i="35"/>
  <c r="M8" i="35"/>
  <c r="L8" i="35"/>
  <c r="K8" i="35"/>
  <c r="J8" i="35"/>
  <c r="I8" i="35"/>
  <c r="H8" i="35"/>
  <c r="G8" i="35"/>
  <c r="F8" i="35"/>
  <c r="E8" i="35"/>
  <c r="D8" i="35"/>
  <c r="C8" i="35"/>
  <c r="O7" i="35"/>
  <c r="O8" i="35" s="1"/>
  <c r="Q41" i="19"/>
  <c r="Y165" i="35" l="1"/>
  <c r="J70" i="32"/>
  <c r="X166" i="35"/>
  <c r="G115" i="40"/>
  <c r="J71" i="32"/>
  <c r="J69" i="32"/>
  <c r="V166" i="35"/>
  <c r="V165" i="35"/>
  <c r="O72" i="35"/>
  <c r="O71" i="35"/>
  <c r="O14" i="35"/>
  <c r="O28" i="35"/>
  <c r="O29" i="35" s="1"/>
  <c r="S38" i="35"/>
  <c r="O39" i="35"/>
  <c r="F40" i="35"/>
  <c r="F41" i="35" s="1"/>
  <c r="L46" i="35"/>
  <c r="O50" i="35"/>
  <c r="U53" i="35"/>
  <c r="D71" i="35"/>
  <c r="C72" i="35"/>
  <c r="M103" i="35"/>
  <c r="L104" i="35"/>
  <c r="L105" i="35"/>
  <c r="L108" i="35" s="1"/>
  <c r="L109" i="35" s="1"/>
  <c r="L107" i="35"/>
  <c r="O124" i="35"/>
  <c r="C139" i="35"/>
  <c r="F140" i="35"/>
  <c r="E141" i="35"/>
  <c r="E142" i="35" s="1"/>
  <c r="O153" i="35"/>
  <c r="O154" i="35" s="1"/>
  <c r="L158" i="35"/>
  <c r="L159" i="35"/>
  <c r="L160" i="35"/>
  <c r="L161" i="35"/>
  <c r="L164" i="35" s="1"/>
  <c r="L165" i="35" s="1"/>
  <c r="L163" i="35"/>
  <c r="M44" i="35"/>
  <c r="C71" i="35"/>
  <c r="O138" i="35"/>
  <c r="O11" i="35"/>
  <c r="N45" i="35"/>
  <c r="L47" i="35"/>
  <c r="L48" i="35"/>
  <c r="L49" i="35"/>
  <c r="L51" i="35" s="1"/>
  <c r="L52" i="35" s="1"/>
  <c r="O68" i="35"/>
  <c r="E71" i="35"/>
  <c r="O121" i="35"/>
  <c r="C140" i="35"/>
  <c r="F141" i="35"/>
  <c r="F142" i="35" s="1"/>
  <c r="O34" i="35"/>
  <c r="C141" i="35"/>
  <c r="C142" i="35" s="1"/>
  <c r="L45" i="35" l="1"/>
  <c r="M45" i="35"/>
  <c r="O141" i="35"/>
  <c r="O142" i="35" s="1"/>
  <c r="O140" i="35"/>
  <c r="L50" i="35"/>
  <c r="D83" i="35"/>
  <c r="T38" i="35"/>
  <c r="U38" i="35" l="1"/>
  <c r="E83" i="35"/>
  <c r="V38" i="35" l="1"/>
  <c r="W38" i="35" s="1"/>
  <c r="X38" i="35" s="1"/>
  <c r="Y38" i="35" s="1"/>
  <c r="F83" i="35"/>
  <c r="Z38" i="35" l="1"/>
  <c r="AA38" i="35" s="1"/>
  <c r="AB38" i="35" s="1"/>
  <c r="AC38" i="35" s="1"/>
  <c r="O133" i="35"/>
  <c r="O77" i="35"/>
  <c r="M162" i="35" l="1"/>
  <c r="M106" i="35"/>
  <c r="O26" i="35"/>
  <c r="M49" i="35"/>
  <c r="M51" i="35" s="1"/>
  <c r="M52" i="35" s="1"/>
  <c r="M163" i="35"/>
  <c r="M161" i="35"/>
  <c r="M107" i="35"/>
  <c r="M105" i="35"/>
  <c r="M48" i="35"/>
  <c r="O83" i="35"/>
  <c r="O139" i="35"/>
  <c r="M50" i="35"/>
  <c r="M108" i="35" l="1"/>
  <c r="M109" i="35" s="1"/>
  <c r="M164" i="35"/>
  <c r="M165" i="35" s="1"/>
  <c r="I62" i="33" l="1"/>
  <c r="H62" i="33"/>
  <c r="G62" i="33"/>
  <c r="N61" i="33"/>
  <c r="M61" i="33"/>
  <c r="L61" i="33"/>
  <c r="I61" i="33"/>
  <c r="H61" i="33"/>
  <c r="G61" i="33"/>
  <c r="I60" i="33"/>
  <c r="H60" i="33"/>
  <c r="G60" i="33"/>
  <c r="M59" i="33"/>
  <c r="G59" i="33"/>
  <c r="N58" i="33"/>
  <c r="M58" i="33"/>
  <c r="I58" i="33"/>
  <c r="H58" i="33"/>
  <c r="G58" i="33"/>
  <c r="M42" i="33"/>
  <c r="N62" i="33" s="1"/>
  <c r="N41" i="33"/>
  <c r="I41" i="33"/>
  <c r="N40" i="33"/>
  <c r="I40" i="33"/>
  <c r="I38" i="33"/>
  <c r="K37" i="33"/>
  <c r="N37" i="33" s="1"/>
  <c r="I37" i="33"/>
  <c r="I36" i="33"/>
  <c r="K35" i="33"/>
  <c r="N35" i="33" s="1"/>
  <c r="I35" i="33"/>
  <c r="I34" i="33"/>
  <c r="K33" i="33"/>
  <c r="N33" i="33" s="1"/>
  <c r="I33" i="33"/>
  <c r="I30" i="33"/>
  <c r="I29" i="33"/>
  <c r="I28" i="33"/>
  <c r="I27" i="33"/>
  <c r="K26" i="33"/>
  <c r="N26" i="33" s="1"/>
  <c r="I26" i="33"/>
  <c r="I25" i="33"/>
  <c r="I24" i="33"/>
  <c r="I23" i="33"/>
  <c r="I22" i="33"/>
  <c r="I21" i="33"/>
  <c r="K20" i="33"/>
  <c r="N20" i="33" s="1"/>
  <c r="I20" i="33"/>
  <c r="I19" i="33"/>
  <c r="I18" i="33"/>
  <c r="I17" i="33"/>
  <c r="M16" i="33"/>
  <c r="N59" i="33" s="1"/>
  <c r="L16" i="33"/>
  <c r="H16" i="33"/>
  <c r="I59" i="33" s="1"/>
  <c r="G16" i="33"/>
  <c r="H59" i="33" s="1"/>
  <c r="F16" i="33"/>
  <c r="N15" i="33"/>
  <c r="I15" i="33"/>
  <c r="I14" i="33"/>
  <c r="I13" i="33"/>
  <c r="I12" i="33"/>
  <c r="M11" i="33"/>
  <c r="M39" i="33" s="1"/>
  <c r="N60" i="33" s="1"/>
  <c r="L11" i="33"/>
  <c r="L39" i="33" s="1"/>
  <c r="H11" i="33"/>
  <c r="G11" i="33"/>
  <c r="F11" i="33"/>
  <c r="BR131" i="32"/>
  <c r="BY130" i="32"/>
  <c r="BW130" i="32"/>
  <c r="CK129" i="32"/>
  <c r="CJ129" i="32"/>
  <c r="BY129" i="32"/>
  <c r="BU130" i="32" s="1"/>
  <c r="BX129" i="32"/>
  <c r="BW129" i="32"/>
  <c r="BV129" i="32"/>
  <c r="BK129" i="32"/>
  <c r="BJ129" i="32"/>
  <c r="BC129" i="32"/>
  <c r="BB129" i="32"/>
  <c r="BA129" i="32"/>
  <c r="AZ129" i="32"/>
  <c r="AY129" i="32"/>
  <c r="AX129" i="32"/>
  <c r="AU129" i="32"/>
  <c r="AT129" i="32"/>
  <c r="AO129" i="32"/>
  <c r="AN129" i="32"/>
  <c r="AM129" i="32"/>
  <c r="AL129" i="32"/>
  <c r="AK129" i="32"/>
  <c r="AJ129" i="32"/>
  <c r="GB125" i="32"/>
  <c r="CH123" i="32"/>
  <c r="Z121" i="32"/>
  <c r="H75" i="32" s="1"/>
  <c r="U122" i="32"/>
  <c r="BL121" i="32"/>
  <c r="U120" i="32"/>
  <c r="U118" i="32"/>
  <c r="K32" i="33"/>
  <c r="N32" i="33" s="1"/>
  <c r="K31" i="33"/>
  <c r="N31" i="33" s="1"/>
  <c r="CH115" i="32"/>
  <c r="BL115" i="32"/>
  <c r="Z115" i="32"/>
  <c r="H69" i="32" s="1"/>
  <c r="BL114" i="32"/>
  <c r="BY113" i="32"/>
  <c r="U113" i="32"/>
  <c r="U110" i="32"/>
  <c r="U104" i="32"/>
  <c r="GC100" i="32"/>
  <c r="GB100" i="32"/>
  <c r="CH100" i="32"/>
  <c r="CH124" i="32" s="1"/>
  <c r="CH129" i="32" s="1"/>
  <c r="BM100" i="32"/>
  <c r="AY100" i="32"/>
  <c r="AX100" i="32"/>
  <c r="GC95" i="32"/>
  <c r="GB95" i="32"/>
  <c r="GA95" i="32"/>
  <c r="GA96" i="32" s="1"/>
  <c r="FZ95" i="32"/>
  <c r="FZ96" i="32" s="1"/>
  <c r="FY95" i="32"/>
  <c r="FY96" i="32" s="1"/>
  <c r="FX95" i="32"/>
  <c r="FX96" i="32" s="1"/>
  <c r="FW95" i="32"/>
  <c r="FW96" i="32" s="1"/>
  <c r="FV95" i="32"/>
  <c r="FV96" i="32" s="1"/>
  <c r="FU95" i="32"/>
  <c r="FU96" i="32" s="1"/>
  <c r="FT95" i="32"/>
  <c r="FT96" i="32" s="1"/>
  <c r="FS95" i="32"/>
  <c r="FS96" i="32" s="1"/>
  <c r="FR95" i="32"/>
  <c r="FR96" i="32" s="1"/>
  <c r="FQ95" i="32"/>
  <c r="FQ96" i="32" s="1"/>
  <c r="FP95" i="32"/>
  <c r="FP96" i="32" s="1"/>
  <c r="FO95" i="32"/>
  <c r="FO96" i="32" s="1"/>
  <c r="FN95" i="32"/>
  <c r="FN96" i="32" s="1"/>
  <c r="FM95" i="32"/>
  <c r="FM96" i="32" s="1"/>
  <c r="FL95" i="32"/>
  <c r="FK95" i="32"/>
  <c r="FL96" i="32" s="1"/>
  <c r="FJ95" i="32"/>
  <c r="FJ96" i="32" s="1"/>
  <c r="FI95" i="32"/>
  <c r="FI96" i="32" s="1"/>
  <c r="FH95" i="32"/>
  <c r="FH96" i="32" s="1"/>
  <c r="FG95" i="32"/>
  <c r="FG96" i="32" s="1"/>
  <c r="FF95" i="32"/>
  <c r="FF96" i="32" s="1"/>
  <c r="FE95" i="32"/>
  <c r="FE96" i="32" s="1"/>
  <c r="FD95" i="32"/>
  <c r="FD96" i="32" s="1"/>
  <c r="FC95" i="32"/>
  <c r="FC96" i="32" s="1"/>
  <c r="FB95" i="32"/>
  <c r="FB96" i="32" s="1"/>
  <c r="FA95" i="32"/>
  <c r="FA96" i="32" s="1"/>
  <c r="EZ95" i="32"/>
  <c r="EZ96" i="32" s="1"/>
  <c r="EY95" i="32"/>
  <c r="EY96" i="32" s="1"/>
  <c r="EX95" i="32"/>
  <c r="EX96" i="32" s="1"/>
  <c r="EW95" i="32"/>
  <c r="EW96" i="32" s="1"/>
  <c r="EV95" i="32"/>
  <c r="EV96" i="32" s="1"/>
  <c r="EU95" i="32"/>
  <c r="EU96" i="32" s="1"/>
  <c r="ET95" i="32"/>
  <c r="ET96" i="32" s="1"/>
  <c r="ES95" i="32"/>
  <c r="ES96" i="32" s="1"/>
  <c r="ER95" i="32"/>
  <c r="ER96" i="32" s="1"/>
  <c r="EQ95" i="32"/>
  <c r="EQ96" i="32" s="1"/>
  <c r="EP95" i="32"/>
  <c r="EP96" i="32" s="1"/>
  <c r="EO95" i="32"/>
  <c r="EO96" i="32" s="1"/>
  <c r="EN95" i="32"/>
  <c r="EN96" i="32" s="1"/>
  <c r="EM95" i="32"/>
  <c r="EM96" i="32" s="1"/>
  <c r="EL95" i="32"/>
  <c r="EK95" i="32"/>
  <c r="EL96" i="32" s="1"/>
  <c r="EJ95" i="32"/>
  <c r="EJ96" i="32" s="1"/>
  <c r="EI95" i="32"/>
  <c r="EI96" i="32" s="1"/>
  <c r="EH95" i="32"/>
  <c r="EH96" i="32" s="1"/>
  <c r="EG95" i="32"/>
  <c r="EG96" i="32" s="1"/>
  <c r="EF95" i="32"/>
  <c r="EF96" i="32" s="1"/>
  <c r="EE95" i="32"/>
  <c r="EE96" i="32" s="1"/>
  <c r="ED95" i="32"/>
  <c r="ED96" i="32" s="1"/>
  <c r="EC95" i="32"/>
  <c r="EC96" i="32" s="1"/>
  <c r="EB95" i="32"/>
  <c r="EB96" i="32" s="1"/>
  <c r="EA95" i="32"/>
  <c r="EA96" i="32" s="1"/>
  <c r="DZ95" i="32"/>
  <c r="DZ96" i="32" s="1"/>
  <c r="DY95" i="32"/>
  <c r="DY96" i="32" s="1"/>
  <c r="DX95" i="32"/>
  <c r="DX96" i="32" s="1"/>
  <c r="DW95" i="32"/>
  <c r="DW96" i="32" s="1"/>
  <c r="DV95" i="32"/>
  <c r="DV96" i="32" s="1"/>
  <c r="DU95" i="32"/>
  <c r="DU96" i="32" s="1"/>
  <c r="DT95" i="32"/>
  <c r="DT96" i="32" s="1"/>
  <c r="DS95" i="32"/>
  <c r="DS96" i="32" s="1"/>
  <c r="DR95" i="32"/>
  <c r="DR96" i="32" s="1"/>
  <c r="DQ95" i="32"/>
  <c r="DQ96" i="32" s="1"/>
  <c r="DP95" i="32"/>
  <c r="DP96" i="32" s="1"/>
  <c r="DO95" i="32"/>
  <c r="DO96" i="32" s="1"/>
  <c r="DN95" i="32"/>
  <c r="DN96" i="32" s="1"/>
  <c r="DM95" i="32"/>
  <c r="DM96" i="32" s="1"/>
  <c r="DL95" i="32"/>
  <c r="DK95" i="32"/>
  <c r="DL96" i="32" s="1"/>
  <c r="DJ95" i="32"/>
  <c r="DJ96" i="32" s="1"/>
  <c r="DI95" i="32"/>
  <c r="DI96" i="32" s="1"/>
  <c r="DH95" i="32"/>
  <c r="DH96" i="32" s="1"/>
  <c r="DG95" i="32"/>
  <c r="DG96" i="32" s="1"/>
  <c r="DF95" i="32"/>
  <c r="DF96" i="32" s="1"/>
  <c r="DE95" i="32"/>
  <c r="DE96" i="32" s="1"/>
  <c r="DD95" i="32"/>
  <c r="DD96" i="32" s="1"/>
  <c r="DC95" i="32"/>
  <c r="DC96" i="32" s="1"/>
  <c r="DB95" i="32"/>
  <c r="DB96" i="32" s="1"/>
  <c r="DA95" i="32"/>
  <c r="DA96" i="32" s="1"/>
  <c r="CZ95" i="32"/>
  <c r="CZ96" i="32" s="1"/>
  <c r="CY95" i="32"/>
  <c r="CY96" i="32" s="1"/>
  <c r="CX95" i="32"/>
  <c r="CX96" i="32" s="1"/>
  <c r="CW95" i="32"/>
  <c r="CW96" i="32" s="1"/>
  <c r="CV95" i="32"/>
  <c r="CV96" i="32" s="1"/>
  <c r="CU95" i="32"/>
  <c r="CU96" i="32" s="1"/>
  <c r="CT95" i="32"/>
  <c r="CT96" i="32" s="1"/>
  <c r="CS95" i="32"/>
  <c r="CS96" i="32" s="1"/>
  <c r="CR95" i="32"/>
  <c r="CR96" i="32" s="1"/>
  <c r="CQ95" i="32"/>
  <c r="CQ96" i="32" s="1"/>
  <c r="CP95" i="32"/>
  <c r="CP96" i="32" s="1"/>
  <c r="CO95" i="32"/>
  <c r="CO96" i="32" s="1"/>
  <c r="CN95" i="32"/>
  <c r="CN96" i="32" s="1"/>
  <c r="CM95" i="32"/>
  <c r="CL95" i="32"/>
  <c r="CK95" i="32"/>
  <c r="CJ95" i="32"/>
  <c r="CJ96" i="32" s="1"/>
  <c r="CI95" i="32"/>
  <c r="CI96" i="32" s="1"/>
  <c r="CH95" i="32"/>
  <c r="CH96" i="32" s="1"/>
  <c r="CF95" i="32"/>
  <c r="CF96" i="32" s="1"/>
  <c r="CE95" i="32"/>
  <c r="CE96" i="32" s="1"/>
  <c r="CD95" i="32"/>
  <c r="CD96" i="32" s="1"/>
  <c r="CC95" i="32"/>
  <c r="CC96" i="32" s="1"/>
  <c r="CB95" i="32"/>
  <c r="CB96" i="32" s="1"/>
  <c r="CA95" i="32"/>
  <c r="CA96" i="32" s="1"/>
  <c r="BZ95" i="32"/>
  <c r="BZ96" i="32" s="1"/>
  <c r="BY95" i="32"/>
  <c r="BY96" i="32" s="1"/>
  <c r="BX95" i="32"/>
  <c r="BX96" i="32" s="1"/>
  <c r="BS95" i="32"/>
  <c r="BS96" i="32" s="1"/>
  <c r="BQ95" i="32"/>
  <c r="BQ96" i="32" s="1"/>
  <c r="BP95" i="32"/>
  <c r="BP96" i="32" s="1"/>
  <c r="BM95" i="32"/>
  <c r="BG95" i="32"/>
  <c r="BF95" i="32"/>
  <c r="BE95" i="32"/>
  <c r="BD95" i="32"/>
  <c r="BC95" i="32"/>
  <c r="BB95" i="32"/>
  <c r="BA95" i="32"/>
  <c r="AZ95" i="32"/>
  <c r="AY95" i="32"/>
  <c r="AX95" i="32"/>
  <c r="AW95" i="32"/>
  <c r="AV95" i="32"/>
  <c r="AU95" i="32"/>
  <c r="AT95" i="32"/>
  <c r="AS95" i="32"/>
  <c r="AQ95" i="32"/>
  <c r="AP95" i="32"/>
  <c r="AO95" i="32"/>
  <c r="AN95" i="32"/>
  <c r="AM95" i="32"/>
  <c r="AK95" i="32"/>
  <c r="AJ95" i="32"/>
  <c r="AI95" i="32"/>
  <c r="AH95" i="32"/>
  <c r="AG95" i="32"/>
  <c r="AF95" i="32"/>
  <c r="GC94" i="32"/>
  <c r="GB94" i="32"/>
  <c r="CM94" i="32"/>
  <c r="CK94" i="32"/>
  <c r="CG94" i="32"/>
  <c r="CG95" i="32" s="1"/>
  <c r="CG96" i="32" s="1"/>
  <c r="BV94" i="32"/>
  <c r="BV95" i="32" s="1"/>
  <c r="BV96" i="32" s="1"/>
  <c r="BT94" i="32"/>
  <c r="BT95" i="32" s="1"/>
  <c r="BT96" i="32" s="1"/>
  <c r="BR94" i="32"/>
  <c r="BR95" i="32" s="1"/>
  <c r="BR96" i="32" s="1"/>
  <c r="BN94" i="32"/>
  <c r="BN95" i="32" s="1"/>
  <c r="BL94" i="32"/>
  <c r="BL95" i="32" s="1"/>
  <c r="BK94" i="32"/>
  <c r="BK95" i="32" s="1"/>
  <c r="BJ94" i="32"/>
  <c r="BJ95" i="32" s="1"/>
  <c r="AR94" i="32"/>
  <c r="AR95" i="32" s="1"/>
  <c r="Z94" i="32"/>
  <c r="T94" i="32" s="1"/>
  <c r="BU93" i="32"/>
  <c r="BO93" i="32"/>
  <c r="T93" i="32"/>
  <c r="BU92" i="32"/>
  <c r="BO92" i="32"/>
  <c r="T92" i="32"/>
  <c r="BU91" i="32"/>
  <c r="BO91" i="32"/>
  <c r="T91" i="32"/>
  <c r="P77" i="32"/>
  <c r="P76" i="32"/>
  <c r="E76" i="32"/>
  <c r="O70" i="32"/>
  <c r="P70" i="32" s="1"/>
  <c r="D7" i="19"/>
  <c r="D6" i="19"/>
  <c r="O64" i="32"/>
  <c r="O58" i="32"/>
  <c r="N54" i="32"/>
  <c r="N78" i="32" s="1"/>
  <c r="M54" i="32"/>
  <c r="M78" i="32" s="1"/>
  <c r="L54" i="32"/>
  <c r="L78" i="32" s="1"/>
  <c r="K78" i="32"/>
  <c r="E12" i="32"/>
  <c r="F12" i="32" s="1"/>
  <c r="BN11" i="32"/>
  <c r="BM11" i="32"/>
  <c r="U11" i="32"/>
  <c r="C11" i="32"/>
  <c r="D11" i="32" s="1"/>
  <c r="BN9" i="32"/>
  <c r="BN10" i="32" s="1"/>
  <c r="BM9" i="32"/>
  <c r="BM10" i="32" s="1"/>
  <c r="U9" i="32"/>
  <c r="U10" i="32" s="1"/>
  <c r="J82" i="32"/>
  <c r="J81" i="32"/>
  <c r="J80" i="32"/>
  <c r="J79" i="32"/>
  <c r="J61" i="32"/>
  <c r="J77" i="32"/>
  <c r="J59" i="32"/>
  <c r="J55" i="32"/>
  <c r="J63" i="32"/>
  <c r="J66" i="32"/>
  <c r="T26" i="29"/>
  <c r="U26" i="29" s="1"/>
  <c r="U14" i="29"/>
  <c r="P14" i="29"/>
  <c r="T14" i="29" s="1"/>
  <c r="U13" i="29"/>
  <c r="T13" i="29"/>
  <c r="U12" i="29"/>
  <c r="P12" i="29"/>
  <c r="T12" i="29" s="1"/>
  <c r="U11" i="29"/>
  <c r="P11" i="29"/>
  <c r="T11" i="29" s="1"/>
  <c r="U10" i="29"/>
  <c r="P10" i="29"/>
  <c r="T10" i="29" s="1"/>
  <c r="U9" i="29"/>
  <c r="P9" i="29"/>
  <c r="P15" i="29" s="1"/>
  <c r="T8" i="29"/>
  <c r="T9" i="29" l="1"/>
  <c r="T121" i="32"/>
  <c r="T115" i="32"/>
  <c r="U111" i="32"/>
  <c r="J65" i="32"/>
  <c r="O65" i="32" s="1"/>
  <c r="P65" i="32" s="1"/>
  <c r="K18" i="33"/>
  <c r="N18" i="33" s="1"/>
  <c r="J56" i="32"/>
  <c r="F73" i="32"/>
  <c r="J73" i="32"/>
  <c r="O73" i="32" s="1"/>
  <c r="P73" i="32" s="1"/>
  <c r="K22" i="33"/>
  <c r="N22" i="33" s="1"/>
  <c r="J60" i="32"/>
  <c r="O60" i="32" s="1"/>
  <c r="P60" i="32" s="1"/>
  <c r="F62" i="32"/>
  <c r="J62" i="32"/>
  <c r="O62" i="32" s="1"/>
  <c r="P62" i="32" s="1"/>
  <c r="U103" i="32"/>
  <c r="J57" i="32"/>
  <c r="O57" i="32" s="1"/>
  <c r="P57" i="32" s="1"/>
  <c r="L83" i="32"/>
  <c r="L87" i="32" s="1"/>
  <c r="L85" i="32"/>
  <c r="K83" i="32"/>
  <c r="K87" i="32" s="1"/>
  <c r="K85" i="32"/>
  <c r="M83" i="32"/>
  <c r="M85" i="32"/>
  <c r="N83" i="32"/>
  <c r="N85" i="32"/>
  <c r="GB124" i="32"/>
  <c r="GB129" i="32" s="1"/>
  <c r="BL100" i="32"/>
  <c r="BL124" i="32" s="1"/>
  <c r="BL129" i="32" s="1"/>
  <c r="CM96" i="32"/>
  <c r="H50" i="32"/>
  <c r="I28" i="32" s="1"/>
  <c r="GC96" i="32"/>
  <c r="EK96" i="32"/>
  <c r="GC124" i="32"/>
  <c r="GC129" i="32" s="1"/>
  <c r="F10" i="32"/>
  <c r="BO94" i="32"/>
  <c r="BO95" i="32" s="1"/>
  <c r="O71" i="32"/>
  <c r="P71" i="32" s="1"/>
  <c r="G60" i="32"/>
  <c r="F64" i="32"/>
  <c r="GB96" i="32"/>
  <c r="U116" i="32"/>
  <c r="D50" i="32"/>
  <c r="C28" i="32" s="1"/>
  <c r="F58" i="32"/>
  <c r="F70" i="32"/>
  <c r="Z95" i="32"/>
  <c r="CL96" i="32"/>
  <c r="CK96" i="32"/>
  <c r="G70" i="32"/>
  <c r="G71" i="32"/>
  <c r="T95" i="32"/>
  <c r="Z114" i="32"/>
  <c r="H68" i="32" s="1"/>
  <c r="U127" i="32"/>
  <c r="O81" i="32"/>
  <c r="P81" i="32" s="1"/>
  <c r="BW92" i="32"/>
  <c r="J52" i="32"/>
  <c r="U107" i="32"/>
  <c r="K23" i="33"/>
  <c r="N23" i="33" s="1"/>
  <c r="O61" i="32"/>
  <c r="P61" i="32" s="1"/>
  <c r="U125" i="32"/>
  <c r="O79" i="32"/>
  <c r="P79" i="32" s="1"/>
  <c r="K28" i="33"/>
  <c r="N28" i="33" s="1"/>
  <c r="U112" i="32"/>
  <c r="O66" i="32"/>
  <c r="P66" i="32" s="1"/>
  <c r="K38" i="33"/>
  <c r="N38" i="33" s="1"/>
  <c r="U123" i="32"/>
  <c r="J75" i="32"/>
  <c r="E77" i="32"/>
  <c r="U126" i="32"/>
  <c r="F80" i="32"/>
  <c r="O80" i="32"/>
  <c r="P80" i="32" s="1"/>
  <c r="K25" i="33"/>
  <c r="N25" i="33" s="1"/>
  <c r="U109" i="32"/>
  <c r="O63" i="32"/>
  <c r="P63" i="32" s="1"/>
  <c r="K21" i="33"/>
  <c r="N21" i="33" s="1"/>
  <c r="O59" i="32"/>
  <c r="P59" i="32" s="1"/>
  <c r="U105" i="32"/>
  <c r="L42" i="33"/>
  <c r="M62" i="33" s="1"/>
  <c r="M60" i="33"/>
  <c r="J53" i="32"/>
  <c r="BW93" i="32"/>
  <c r="K34" i="33"/>
  <c r="N34" i="33" s="1"/>
  <c r="U119" i="32"/>
  <c r="K17" i="33"/>
  <c r="N17" i="33" s="1"/>
  <c r="U101" i="32"/>
  <c r="U128" i="32"/>
  <c r="F82" i="32"/>
  <c r="C10" i="32"/>
  <c r="D10" i="32" s="1"/>
  <c r="BU94" i="32"/>
  <c r="BU95" i="32" s="1"/>
  <c r="BU96" i="32" s="1"/>
  <c r="K27" i="33"/>
  <c r="N27" i="33" s="1"/>
  <c r="I16" i="33"/>
  <c r="O56" i="32"/>
  <c r="P56" i="32" s="1"/>
  <c r="O82" i="32"/>
  <c r="U102" i="32"/>
  <c r="J51" i="32"/>
  <c r="BW91" i="32"/>
  <c r="J68" i="32"/>
  <c r="K24" i="33"/>
  <c r="N24" i="33" s="1"/>
  <c r="U108" i="32"/>
  <c r="U106" i="32"/>
  <c r="I11" i="33"/>
  <c r="K19" i="33"/>
  <c r="N19" i="33" s="1"/>
  <c r="U117" i="32"/>
  <c r="DK96" i="32"/>
  <c r="FK96" i="32"/>
  <c r="Z100" i="32" l="1"/>
  <c r="Z124" i="32" s="1"/>
  <c r="T124" i="32" s="1"/>
  <c r="T114" i="32"/>
  <c r="T100" i="32" s="1"/>
  <c r="G73" i="32"/>
  <c r="G62" i="32"/>
  <c r="J54" i="32"/>
  <c r="J50" i="32"/>
  <c r="F71" i="32"/>
  <c r="F60" i="32"/>
  <c r="H54" i="32"/>
  <c r="BW94" i="32"/>
  <c r="BW95" i="32" s="1"/>
  <c r="BW96" i="32" s="1"/>
  <c r="Z129" i="32"/>
  <c r="U114" i="32"/>
  <c r="K29" i="33"/>
  <c r="N29" i="33" s="1"/>
  <c r="O68" i="32"/>
  <c r="U92" i="32"/>
  <c r="K13" i="33"/>
  <c r="N13" i="33" s="1"/>
  <c r="O52" i="32"/>
  <c r="P52" i="32" s="1"/>
  <c r="K30" i="33"/>
  <c r="O69" i="32"/>
  <c r="P69" i="32" s="1"/>
  <c r="U115" i="32"/>
  <c r="O55" i="32"/>
  <c r="P55" i="32" s="1"/>
  <c r="G59" i="32"/>
  <c r="F59" i="32"/>
  <c r="G63" i="32"/>
  <c r="F63" i="32"/>
  <c r="F66" i="32"/>
  <c r="G66" i="32"/>
  <c r="G79" i="32"/>
  <c r="F79" i="32"/>
  <c r="D12" i="32"/>
  <c r="F57" i="32"/>
  <c r="G57" i="32"/>
  <c r="F55" i="32"/>
  <c r="G55" i="32"/>
  <c r="U93" i="32"/>
  <c r="K14" i="33"/>
  <c r="N14" i="33" s="1"/>
  <c r="O53" i="32"/>
  <c r="P53" i="32" s="1"/>
  <c r="U121" i="32"/>
  <c r="K36" i="33"/>
  <c r="N36" i="33" s="1"/>
  <c r="O75" i="32"/>
  <c r="P75" i="32" s="1"/>
  <c r="G61" i="32"/>
  <c r="F61" i="32"/>
  <c r="F81" i="32"/>
  <c r="G81" i="32"/>
  <c r="F65" i="32"/>
  <c r="G65" i="32"/>
  <c r="F56" i="32"/>
  <c r="G56" i="32"/>
  <c r="K12" i="33"/>
  <c r="U91" i="32"/>
  <c r="T129" i="32" l="1"/>
  <c r="J78" i="32"/>
  <c r="P68" i="32"/>
  <c r="D54" i="32"/>
  <c r="C29" i="32" s="1"/>
  <c r="E54" i="32"/>
  <c r="I29" i="32"/>
  <c r="H78" i="32"/>
  <c r="H85" i="32" s="1"/>
  <c r="U95" i="32"/>
  <c r="G52" i="32"/>
  <c r="F52" i="32"/>
  <c r="U100" i="32"/>
  <c r="O51" i="32"/>
  <c r="P51" i="32" s="1"/>
  <c r="I50" i="32"/>
  <c r="S50" i="32" s="1"/>
  <c r="F69" i="32"/>
  <c r="G69" i="32"/>
  <c r="U94" i="32"/>
  <c r="G75" i="32"/>
  <c r="F75" i="32"/>
  <c r="G53" i="32"/>
  <c r="F53" i="32"/>
  <c r="N30" i="33"/>
  <c r="N16" i="33" s="1"/>
  <c r="K16" i="33"/>
  <c r="F68" i="32"/>
  <c r="G68" i="32"/>
  <c r="G51" i="32"/>
  <c r="F51" i="32"/>
  <c r="E50" i="32"/>
  <c r="D28" i="32" s="1"/>
  <c r="N12" i="33"/>
  <c r="N11" i="33" s="1"/>
  <c r="L58" i="33"/>
  <c r="K11" i="33"/>
  <c r="J85" i="32" l="1"/>
  <c r="J83" i="32"/>
  <c r="G54" i="32"/>
  <c r="O54" i="32"/>
  <c r="P54" i="32" s="1"/>
  <c r="D29" i="32"/>
  <c r="F29" i="32" s="1"/>
  <c r="D78" i="32"/>
  <c r="D85" i="32" s="1"/>
  <c r="F54" i="32"/>
  <c r="H83" i="32"/>
  <c r="H87" i="32" s="1"/>
  <c r="I30" i="32"/>
  <c r="C30" i="32"/>
  <c r="N39" i="33"/>
  <c r="N42" i="33" s="1"/>
  <c r="G50" i="32"/>
  <c r="E78" i="32"/>
  <c r="E85" i="32" s="1"/>
  <c r="F50" i="32"/>
  <c r="U124" i="32"/>
  <c r="K39" i="33"/>
  <c r="O11" i="33"/>
  <c r="L59" i="33"/>
  <c r="O16" i="33"/>
  <c r="O50" i="32"/>
  <c r="I78" i="32"/>
  <c r="S78" i="32" s="1"/>
  <c r="D83" i="32" l="1"/>
  <c r="D87" i="32" s="1"/>
  <c r="J87" i="32"/>
  <c r="G85" i="32"/>
  <c r="K29" i="32"/>
  <c r="O29" i="32" s="1"/>
  <c r="I85" i="32"/>
  <c r="E29" i="32"/>
  <c r="F78" i="32"/>
  <c r="F85" i="32" s="1"/>
  <c r="U129" i="32"/>
  <c r="E83" i="32"/>
  <c r="E87" i="32" s="1"/>
  <c r="G78" i="32"/>
  <c r="D30" i="32"/>
  <c r="I83" i="32"/>
  <c r="O78" i="32"/>
  <c r="O85" i="32" s="1"/>
  <c r="P85" i="32" s="1"/>
  <c r="F28" i="32"/>
  <c r="E28" i="32"/>
  <c r="P50" i="32"/>
  <c r="K28" i="32"/>
  <c r="K42" i="33"/>
  <c r="L62" i="33" s="1"/>
  <c r="L60" i="33"/>
  <c r="O39" i="33"/>
  <c r="M29" i="32" l="1"/>
  <c r="O83" i="32"/>
  <c r="P83" i="32" s="1"/>
  <c r="I87" i="32"/>
  <c r="F30" i="32"/>
  <c r="E30" i="32"/>
  <c r="O28" i="32"/>
  <c r="M28" i="32"/>
  <c r="P78" i="32"/>
  <c r="K30" i="32"/>
  <c r="G83" i="32"/>
  <c r="F83" i="32"/>
  <c r="O30" i="32" l="1"/>
  <c r="M30" i="32"/>
  <c r="F18" i="4" l="1"/>
  <c r="F17" i="4"/>
  <c r="F16" i="4"/>
  <c r="F15" i="4"/>
  <c r="N25" i="3"/>
  <c r="D27" i="8" l="1"/>
  <c r="K16" i="4"/>
  <c r="O16" i="4" s="1"/>
  <c r="K17" i="4"/>
  <c r="O17" i="4" s="1"/>
  <c r="K18" i="4"/>
  <c r="O18" i="4" s="1"/>
  <c r="H26" i="3"/>
  <c r="N23" i="3"/>
  <c r="K15" i="4"/>
  <c r="B47" i="19"/>
  <c r="B45" i="19"/>
  <c r="B32" i="19"/>
  <c r="B31" i="19"/>
  <c r="B29" i="19"/>
  <c r="B28" i="19"/>
  <c r="B27" i="19"/>
  <c r="B26" i="19"/>
  <c r="B25" i="19"/>
  <c r="B23" i="19"/>
  <c r="B22" i="19"/>
  <c r="H10" i="19"/>
  <c r="Q25" i="17"/>
  <c r="T25" i="17"/>
  <c r="X25" i="17"/>
  <c r="AA25" i="17"/>
  <c r="AD25" i="17"/>
  <c r="T16" i="17"/>
  <c r="L56" i="4"/>
  <c r="L57" i="4" s="1"/>
  <c r="I57" i="4"/>
  <c r="F57" i="4"/>
  <c r="I47" i="4"/>
  <c r="N24" i="3"/>
  <c r="K26" i="3"/>
  <c r="D17" i="19"/>
  <c r="E27" i="8"/>
  <c r="F19" i="4"/>
  <c r="H13" i="19"/>
  <c r="H11" i="19"/>
  <c r="H7" i="19"/>
  <c r="AA27" i="17" l="1"/>
  <c r="H6" i="19"/>
  <c r="H8" i="19"/>
  <c r="N26" i="3"/>
  <c r="B19" i="3" s="1"/>
  <c r="N19" i="3" s="1"/>
  <c r="F17" i="19"/>
  <c r="H14" i="19"/>
  <c r="O15" i="4"/>
  <c r="K19" i="4"/>
  <c r="O19" i="4" s="1"/>
  <c r="H16" i="19"/>
  <c r="H12" i="19"/>
  <c r="H15" i="19"/>
  <c r="H9" i="19"/>
  <c r="H17" i="19" l="1"/>
  <c r="F76" i="32"/>
  <c r="F77" i="32"/>
</calcChain>
</file>

<file path=xl/comments1.xml><?xml version="1.0" encoding="utf-8"?>
<comments xmlns="http://schemas.openxmlformats.org/spreadsheetml/2006/main">
  <authors>
    <author>만든 이</author>
  </authors>
  <commentList>
    <comment ref="N26" authorId="0" shapeId="0">
      <text>
        <r>
          <rPr>
            <b/>
            <sz val="9"/>
            <color indexed="81"/>
            <rFont val="돋움"/>
            <family val="3"/>
            <charset val="129"/>
          </rPr>
          <t>만든 이:</t>
        </r>
        <r>
          <rPr>
            <sz val="9"/>
            <color indexed="81"/>
            <rFont val="돋움"/>
            <family val="3"/>
            <charset val="129"/>
          </rPr>
          <t xml:space="preserve">
토지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부동산</t>
        </r>
        <r>
          <rPr>
            <sz val="9"/>
            <color indexed="81"/>
            <rFont val="Tahoma"/>
            <family val="2"/>
          </rPr>
          <t xml:space="preserve"> 4:6
</t>
        </r>
        <r>
          <rPr>
            <sz val="9"/>
            <color indexed="81"/>
            <rFont val="돋움"/>
            <family val="3"/>
            <charset val="129"/>
          </rPr>
          <t>매입시점</t>
        </r>
        <r>
          <rPr>
            <sz val="9"/>
            <color indexed="81"/>
            <rFont val="Tahoma"/>
            <family val="2"/>
          </rPr>
          <t xml:space="preserve"> B/S
</t>
        </r>
      </text>
    </comment>
  </commentList>
</comments>
</file>

<file path=xl/comments2.xml><?xml version="1.0" encoding="utf-8"?>
<comments xmlns="http://schemas.openxmlformats.org/spreadsheetml/2006/main">
  <authors>
    <author>만든 이</author>
  </authors>
  <commentList>
    <comment ref="C23" authorId="0" shapeId="0">
      <text>
        <r>
          <rPr>
            <b/>
            <sz val="9"/>
            <color indexed="81"/>
            <rFont val="돋움"/>
            <family val="3"/>
            <charset val="129"/>
          </rPr>
          <t>코람코펀드로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변경예정</t>
        </r>
      </text>
    </comment>
  </commentList>
</comments>
</file>

<file path=xl/comments3.xml><?xml version="1.0" encoding="utf-8"?>
<comments xmlns="http://schemas.openxmlformats.org/spreadsheetml/2006/main">
  <authors>
    <author>만든 이</author>
  </authors>
  <commentList>
    <comment ref="B127" authorId="0" shapeId="0">
      <text>
        <r>
          <rPr>
            <sz val="9"/>
            <color indexed="81"/>
            <rFont val="돋움"/>
            <family val="3"/>
            <charset val="129"/>
          </rPr>
          <t>임대기간</t>
        </r>
        <r>
          <rPr>
            <sz val="9"/>
            <color indexed="81"/>
            <rFont val="Tahoma"/>
            <family val="2"/>
          </rPr>
          <t xml:space="preserve"> 2018.04.08-2023.04.07
</t>
        </r>
        <r>
          <rPr>
            <sz val="9"/>
            <color indexed="81"/>
            <rFont val="돋움"/>
            <family val="3"/>
            <charset val="129"/>
          </rPr>
          <t>보증금</t>
        </r>
        <r>
          <rPr>
            <sz val="9"/>
            <color indexed="81"/>
            <rFont val="Tahoma"/>
            <family val="2"/>
          </rPr>
          <t xml:space="preserve"> \109,736,000
</t>
        </r>
        <r>
          <rPr>
            <sz val="9"/>
            <color indexed="81"/>
            <rFont val="돋움"/>
            <family val="3"/>
            <charset val="129"/>
          </rPr>
          <t>임대료</t>
        </r>
        <r>
          <rPr>
            <sz val="9"/>
            <color indexed="81"/>
            <rFont val="Tahoma"/>
            <family val="2"/>
          </rPr>
          <t xml:space="preserve"> 
4</t>
        </r>
        <r>
          <rPr>
            <sz val="9"/>
            <color indexed="81"/>
            <rFont val="돋움"/>
            <family val="3"/>
            <charset val="129"/>
          </rPr>
          <t>년차</t>
        </r>
        <r>
          <rPr>
            <sz val="9"/>
            <color indexed="81"/>
            <rFont val="Tahoma"/>
            <family val="2"/>
          </rPr>
          <t xml:space="preserve"> 2021.04.08-2022.04.07 \11,416,933
5</t>
        </r>
        <r>
          <rPr>
            <sz val="9"/>
            <color indexed="81"/>
            <rFont val="돋움"/>
            <family val="3"/>
            <charset val="129"/>
          </rPr>
          <t>년차</t>
        </r>
        <r>
          <rPr>
            <sz val="9"/>
            <color indexed="81"/>
            <rFont val="Tahoma"/>
            <family val="2"/>
          </rPr>
          <t xml:space="preserve"> 2022.04.08-2023.04.07 \11,645,272
</t>
        </r>
        <r>
          <rPr>
            <sz val="9"/>
            <color indexed="81"/>
            <rFont val="돋움"/>
            <family val="3"/>
            <charset val="129"/>
          </rPr>
          <t>관리비</t>
        </r>
        <r>
          <rPr>
            <sz val="9"/>
            <color indexed="81"/>
            <rFont val="Tahoma"/>
            <family val="2"/>
          </rPr>
          <t xml:space="preserve"> 
4</t>
        </r>
        <r>
          <rPr>
            <sz val="9"/>
            <color indexed="81"/>
            <rFont val="돋움"/>
            <family val="3"/>
            <charset val="129"/>
          </rPr>
          <t>년차</t>
        </r>
        <r>
          <rPr>
            <sz val="9"/>
            <color indexed="81"/>
            <rFont val="Tahoma"/>
            <family val="2"/>
          </rPr>
          <t xml:space="preserve"> 2021.04.08-2022.04.07 \6,540,627
5</t>
        </r>
        <r>
          <rPr>
            <sz val="9"/>
            <color indexed="81"/>
            <rFont val="돋움"/>
            <family val="3"/>
            <charset val="129"/>
          </rPr>
          <t>년차</t>
        </r>
        <r>
          <rPr>
            <sz val="9"/>
            <color indexed="81"/>
            <rFont val="Tahoma"/>
            <family val="2"/>
          </rPr>
          <t xml:space="preserve"> 2022.04.08-2023.04.07 \6,736,846
Rent free  
4</t>
        </r>
        <r>
          <rPr>
            <sz val="9"/>
            <color indexed="81"/>
            <rFont val="돋움"/>
            <family val="3"/>
            <charset val="129"/>
          </rPr>
          <t>년차</t>
        </r>
        <r>
          <rPr>
            <sz val="9"/>
            <color indexed="81"/>
            <rFont val="Tahoma"/>
            <family val="2"/>
          </rPr>
          <t xml:space="preserve"> 2021</t>
        </r>
        <r>
          <rPr>
            <sz val="9"/>
            <color indexed="81"/>
            <rFont val="돋움"/>
            <family val="3"/>
            <charset val="129"/>
          </rPr>
          <t>년</t>
        </r>
        <r>
          <rPr>
            <sz val="9"/>
            <color indexed="81"/>
            <rFont val="Tahoma"/>
            <family val="2"/>
          </rPr>
          <t xml:space="preserve"> 05.08-06.07 
        2021</t>
        </r>
        <r>
          <rPr>
            <sz val="9"/>
            <color indexed="81"/>
            <rFont val="돋움"/>
            <family val="3"/>
            <charset val="129"/>
          </rPr>
          <t>년</t>
        </r>
        <r>
          <rPr>
            <sz val="9"/>
            <color indexed="81"/>
            <rFont val="Tahoma"/>
            <family val="2"/>
          </rPr>
          <t xml:space="preserve"> 09.08-10.07
        2022</t>
        </r>
        <r>
          <rPr>
            <sz val="9"/>
            <color indexed="81"/>
            <rFont val="돋움"/>
            <family val="3"/>
            <charset val="129"/>
          </rPr>
          <t>년</t>
        </r>
        <r>
          <rPr>
            <sz val="9"/>
            <color indexed="81"/>
            <rFont val="Tahoma"/>
            <family val="2"/>
          </rPr>
          <t xml:space="preserve"> 01.08-02.07
5</t>
        </r>
        <r>
          <rPr>
            <sz val="9"/>
            <color indexed="81"/>
            <rFont val="돋움"/>
            <family val="3"/>
            <charset val="129"/>
          </rPr>
          <t>년차</t>
        </r>
        <r>
          <rPr>
            <sz val="9"/>
            <color indexed="81"/>
            <rFont val="Tahoma"/>
            <family val="2"/>
          </rPr>
          <t xml:space="preserve"> 2022</t>
        </r>
        <r>
          <rPr>
            <sz val="9"/>
            <color indexed="81"/>
            <rFont val="돋움"/>
            <family val="3"/>
            <charset val="129"/>
          </rPr>
          <t>년</t>
        </r>
        <r>
          <rPr>
            <sz val="9"/>
            <color indexed="81"/>
            <rFont val="Tahoma"/>
            <family val="2"/>
          </rPr>
          <t xml:space="preserve"> 05.08-06.07 
        2022</t>
        </r>
        <r>
          <rPr>
            <sz val="9"/>
            <color indexed="81"/>
            <rFont val="돋움"/>
            <family val="3"/>
            <charset val="129"/>
          </rPr>
          <t>년</t>
        </r>
        <r>
          <rPr>
            <sz val="9"/>
            <color indexed="81"/>
            <rFont val="Tahoma"/>
            <family val="2"/>
          </rPr>
          <t xml:space="preserve"> 09.08-10.07
        2023</t>
        </r>
        <r>
          <rPr>
            <sz val="9"/>
            <color indexed="81"/>
            <rFont val="돋움"/>
            <family val="3"/>
            <charset val="129"/>
          </rPr>
          <t>년</t>
        </r>
        <r>
          <rPr>
            <sz val="9"/>
            <color indexed="81"/>
            <rFont val="Tahoma"/>
            <family val="2"/>
          </rPr>
          <t xml:space="preserve"> 01.08-02.07</t>
        </r>
        <r>
          <rPr>
            <sz val="9"/>
            <color indexed="81"/>
            <rFont val="돋움"/>
            <family val="3"/>
            <charset val="129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만든 이</author>
  </authors>
  <commentList>
    <comment ref="CR36" authorId="0" shapeId="0">
      <text>
        <r>
          <rPr>
            <b/>
            <sz val="9"/>
            <color indexed="81"/>
            <rFont val="돋움"/>
            <family val="3"/>
            <charset val="129"/>
          </rPr>
          <t>만든 이:</t>
        </r>
        <r>
          <rPr>
            <sz val="9"/>
            <color indexed="81"/>
            <rFont val="돋움"/>
            <family val="3"/>
            <charset val="129"/>
          </rPr>
          <t xml:space="preserve">
부가세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조기환급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수정신고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가산세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</commentList>
</comments>
</file>

<file path=xl/comments5.xml><?xml version="1.0" encoding="utf-8"?>
<comments xmlns="http://schemas.openxmlformats.org/spreadsheetml/2006/main">
  <authors>
    <author>만든 이</author>
  </authors>
  <commentList>
    <comment ref="C59" authorId="0" shapeId="0">
      <text>
        <r>
          <rPr>
            <b/>
            <sz val="9"/>
            <color indexed="81"/>
            <rFont val="돋움"/>
            <family val="3"/>
            <charset val="129"/>
          </rPr>
          <t>회계감사</t>
        </r>
        <r>
          <rPr>
            <b/>
            <sz val="9"/>
            <color indexed="81"/>
            <rFont val="Tahoma"/>
            <family val="2"/>
          </rPr>
          <t>,</t>
        </r>
        <r>
          <rPr>
            <b/>
            <sz val="9"/>
            <color indexed="81"/>
            <rFont val="돋움"/>
            <family val="3"/>
            <charset val="129"/>
          </rPr>
          <t>중개수수료</t>
        </r>
        <r>
          <rPr>
            <b/>
            <sz val="9"/>
            <color indexed="81"/>
            <rFont val="Tahoma"/>
            <family val="2"/>
          </rPr>
          <t>,</t>
        </r>
        <r>
          <rPr>
            <b/>
            <sz val="9"/>
            <color indexed="81"/>
            <rFont val="돋움"/>
            <family val="3"/>
            <charset val="129"/>
          </rPr>
          <t>기타비용수수료</t>
        </r>
      </text>
    </comment>
    <comment ref="C68" authorId="0" shapeId="0">
      <text>
        <r>
          <rPr>
            <b/>
            <sz val="9"/>
            <color indexed="81"/>
            <rFont val="돋움"/>
            <family val="3"/>
            <charset val="129"/>
          </rPr>
          <t>계획</t>
        </r>
        <r>
          <rPr>
            <b/>
            <sz val="9"/>
            <color indexed="81"/>
            <rFont val="Tahoma"/>
            <family val="2"/>
          </rPr>
          <t>:FM</t>
        </r>
        <r>
          <rPr>
            <b/>
            <sz val="9"/>
            <color indexed="81"/>
            <rFont val="돋움"/>
            <family val="3"/>
            <charset val="129"/>
          </rPr>
          <t>수수료</t>
        </r>
        <r>
          <rPr>
            <b/>
            <sz val="9"/>
            <color indexed="81"/>
            <rFont val="Tahoma"/>
            <family val="2"/>
          </rPr>
          <t>-2(</t>
        </r>
        <r>
          <rPr>
            <b/>
            <sz val="9"/>
            <color indexed="81"/>
            <rFont val="돋움"/>
            <family val="3"/>
            <charset val="129"/>
          </rPr>
          <t>테크노마트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인건비</t>
        </r>
        <r>
          <rPr>
            <b/>
            <sz val="9"/>
            <color indexed="81"/>
            <rFont val="Tahoma"/>
            <family val="2"/>
          </rPr>
          <t>+</t>
        </r>
        <r>
          <rPr>
            <b/>
            <sz val="9"/>
            <color indexed="81"/>
            <rFont val="돋움"/>
            <family val="3"/>
            <charset val="129"/>
          </rPr>
          <t>외주용역비</t>
        </r>
        <r>
          <rPr>
            <b/>
            <sz val="9"/>
            <color indexed="81"/>
            <rFont val="Tahoma"/>
            <family val="2"/>
          </rPr>
          <t>+</t>
        </r>
        <r>
          <rPr>
            <b/>
            <sz val="9"/>
            <color indexed="81"/>
            <rFont val="돋움"/>
            <family val="3"/>
            <charset val="129"/>
          </rPr>
          <t>광고홍보비</t>
        </r>
        <r>
          <rPr>
            <b/>
            <sz val="9"/>
            <color indexed="81"/>
            <rFont val="Tahoma"/>
            <family val="2"/>
          </rPr>
          <t xml:space="preserve">)+ </t>
        </r>
        <r>
          <rPr>
            <b/>
            <sz val="9"/>
            <color indexed="81"/>
            <rFont val="돋움"/>
            <family val="3"/>
            <charset val="129"/>
          </rPr>
          <t>수도광열비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수선유지비</t>
        </r>
      </text>
    </comment>
    <comment ref="C69" authorId="0" shapeId="0">
      <text>
        <r>
          <rPr>
            <b/>
            <sz val="9"/>
            <color indexed="81"/>
            <rFont val="돋움"/>
            <family val="3"/>
            <charset val="129"/>
          </rPr>
          <t>공용수익배분</t>
        </r>
        <r>
          <rPr>
            <b/>
            <sz val="9"/>
            <color indexed="81"/>
            <rFont val="Tahoma"/>
            <family val="2"/>
          </rPr>
          <t>+</t>
        </r>
        <r>
          <rPr>
            <b/>
            <sz val="9"/>
            <color indexed="81"/>
            <rFont val="돋움"/>
            <family val="3"/>
            <charset val="129"/>
          </rPr>
          <t>관리비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세금계산서</t>
        </r>
        <r>
          <rPr>
            <b/>
            <sz val="9"/>
            <color indexed="81"/>
            <rFont val="Tahoma"/>
            <family val="2"/>
          </rPr>
          <t>+</t>
        </r>
        <r>
          <rPr>
            <b/>
            <sz val="9"/>
            <color indexed="81"/>
            <rFont val="돋움"/>
            <family val="3"/>
            <charset val="129"/>
          </rPr>
          <t>관리비계산서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돋움"/>
            <family val="3"/>
            <charset val="129"/>
          </rPr>
          <t>수도광열비</t>
        </r>
        <r>
          <rPr>
            <b/>
            <sz val="9"/>
            <color indexed="81"/>
            <rFont val="Tahoma"/>
            <family val="2"/>
          </rPr>
          <t>,</t>
        </r>
        <r>
          <rPr>
            <b/>
            <sz val="9"/>
            <color indexed="81"/>
            <rFont val="돋움"/>
            <family val="3"/>
            <charset val="129"/>
          </rPr>
          <t>보험료</t>
        </r>
        <r>
          <rPr>
            <b/>
            <sz val="9"/>
            <color indexed="81"/>
            <rFont val="Tahoma"/>
            <family val="2"/>
          </rPr>
          <t>,</t>
        </r>
        <r>
          <rPr>
            <b/>
            <sz val="9"/>
            <color indexed="81"/>
            <rFont val="돋움"/>
            <family val="3"/>
            <charset val="129"/>
          </rPr>
          <t>수선유지비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차감</t>
        </r>
        <r>
          <rPr>
            <b/>
            <sz val="9"/>
            <color indexed="81"/>
            <rFont val="Tahoma"/>
            <family val="2"/>
          </rPr>
          <t>)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70" authorId="0" shapeId="0">
      <text>
        <r>
          <rPr>
            <b/>
            <sz val="9"/>
            <color indexed="81"/>
            <rFont val="돋움"/>
            <family val="3"/>
            <charset val="129"/>
          </rPr>
          <t>공용관리비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고지서상</t>
        </r>
        <r>
          <rPr>
            <b/>
            <sz val="9"/>
            <color indexed="81"/>
            <rFont val="Tahoma"/>
            <family val="2"/>
          </rPr>
          <t xml:space="preserve"> 
</t>
        </r>
        <r>
          <rPr>
            <b/>
            <sz val="9"/>
            <color indexed="81"/>
            <rFont val="돋움"/>
            <family val="3"/>
            <charset val="129"/>
          </rPr>
          <t xml:space="preserve">수도광열비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71" authorId="0" shapeId="0">
      <text>
        <r>
          <rPr>
            <b/>
            <sz val="9"/>
            <color indexed="81"/>
            <rFont val="돋움"/>
            <family val="3"/>
            <charset val="129"/>
          </rPr>
          <t>공용관리비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고지서상</t>
        </r>
        <r>
          <rPr>
            <b/>
            <sz val="9"/>
            <color indexed="81"/>
            <rFont val="Tahoma"/>
            <family val="2"/>
          </rPr>
          <t xml:space="preserve"> 
</t>
        </r>
        <r>
          <rPr>
            <b/>
            <sz val="9"/>
            <color indexed="81"/>
            <rFont val="돋움"/>
            <family val="3"/>
            <charset val="129"/>
          </rPr>
          <t>수선유지비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75" authorId="0" shapeId="0">
      <text>
        <r>
          <rPr>
            <b/>
            <sz val="9"/>
            <color indexed="81"/>
            <rFont val="돋움"/>
            <family val="3"/>
            <charset val="129"/>
          </rPr>
          <t>계획</t>
        </r>
        <r>
          <rPr>
            <b/>
            <sz val="9"/>
            <color indexed="81"/>
            <rFont val="Tahoma"/>
            <family val="2"/>
          </rPr>
          <t xml:space="preserve">: </t>
        </r>
        <r>
          <rPr>
            <b/>
            <sz val="9"/>
            <color indexed="81"/>
            <rFont val="돋움"/>
            <family val="3"/>
            <charset val="129"/>
          </rPr>
          <t>교통유발부담금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재산세</t>
        </r>
      </text>
    </comment>
    <comment ref="C77" authorId="0" shapeId="0">
      <text>
        <r>
          <rPr>
            <b/>
            <sz val="9"/>
            <color indexed="81"/>
            <rFont val="Tahoma"/>
            <family val="2"/>
          </rPr>
          <t>만든 이:</t>
        </r>
        <r>
          <rPr>
            <sz val="9"/>
            <color indexed="81"/>
            <rFont val="Tahoma"/>
            <family val="2"/>
          </rPr>
          <t xml:space="preserve">
KB </t>
        </r>
        <r>
          <rPr>
            <sz val="9"/>
            <color indexed="81"/>
            <rFont val="돋움"/>
            <family val="3"/>
            <charset val="129"/>
          </rPr>
          <t>손익계산서상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세금과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공과</t>
        </r>
      </text>
    </comment>
    <comment ref="S93" authorId="0" shapeId="0">
      <text>
        <r>
          <rPr>
            <b/>
            <sz val="9"/>
            <color indexed="81"/>
            <rFont val="돋움"/>
            <family val="3"/>
            <charset val="129"/>
          </rPr>
          <t>추가관리비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수익</t>
        </r>
      </text>
    </comment>
    <comment ref="S94" authorId="0" shapeId="0">
      <text>
        <r>
          <rPr>
            <b/>
            <sz val="9"/>
            <color indexed="81"/>
            <rFont val="돋움"/>
            <family val="3"/>
            <charset val="129"/>
          </rPr>
          <t>위
임대료수익</t>
        </r>
        <r>
          <rPr>
            <b/>
            <sz val="9"/>
            <color indexed="81"/>
            <rFont val="Tahoma"/>
            <family val="2"/>
          </rPr>
          <t xml:space="preserve">+
</t>
        </r>
        <r>
          <rPr>
            <b/>
            <sz val="9"/>
            <color indexed="81"/>
            <rFont val="돋움"/>
            <family val="3"/>
            <charset val="129"/>
          </rPr>
          <t>관리비수익</t>
        </r>
        <r>
          <rPr>
            <b/>
            <sz val="9"/>
            <color indexed="81"/>
            <rFont val="Tahoma"/>
            <family val="2"/>
          </rPr>
          <t xml:space="preserve">+
</t>
        </r>
        <r>
          <rPr>
            <b/>
            <sz val="9"/>
            <color indexed="81"/>
            <rFont val="돋움"/>
            <family val="3"/>
            <charset val="129"/>
          </rPr>
          <t>기타수익</t>
        </r>
      </text>
    </comment>
    <comment ref="V99" authorId="0" shapeId="0">
      <text>
        <r>
          <rPr>
            <b/>
            <sz val="9"/>
            <color indexed="81"/>
            <rFont val="돋움"/>
            <family val="3"/>
            <charset val="129"/>
          </rPr>
          <t>예산자료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입히기</t>
        </r>
      </text>
    </comment>
    <comment ref="X99" authorId="0" shapeId="0">
      <text>
        <r>
          <rPr>
            <b/>
            <sz val="9"/>
            <color indexed="81"/>
            <rFont val="돋움"/>
            <family val="3"/>
            <charset val="129"/>
          </rPr>
          <t>예산자료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입히기</t>
        </r>
      </text>
    </comment>
    <comment ref="Z99" authorId="0" shapeId="0">
      <text>
        <r>
          <rPr>
            <b/>
            <sz val="9"/>
            <color indexed="81"/>
            <rFont val="돋움"/>
            <family val="3"/>
            <charset val="129"/>
          </rPr>
          <t>예산자료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입히기</t>
        </r>
      </text>
    </comment>
    <comment ref="AD99" authorId="0" shapeId="0">
      <text>
        <r>
          <rPr>
            <b/>
            <sz val="9"/>
            <color indexed="81"/>
            <rFont val="돋움"/>
            <family val="3"/>
            <charset val="129"/>
          </rPr>
          <t>예산자료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입히기</t>
        </r>
      </text>
    </comment>
    <comment ref="AF99" authorId="0" shapeId="0">
      <text>
        <r>
          <rPr>
            <b/>
            <sz val="9"/>
            <color indexed="81"/>
            <rFont val="돋움"/>
            <family val="3"/>
            <charset val="129"/>
          </rPr>
          <t>예산자료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입히기</t>
        </r>
      </text>
    </comment>
    <comment ref="AH99" authorId="0" shapeId="0">
      <text>
        <r>
          <rPr>
            <b/>
            <sz val="9"/>
            <color indexed="81"/>
            <rFont val="돋움"/>
            <family val="3"/>
            <charset val="129"/>
          </rPr>
          <t>예산자료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입히기</t>
        </r>
      </text>
    </comment>
    <comment ref="AJ99" authorId="0" shapeId="0">
      <text>
        <r>
          <rPr>
            <b/>
            <sz val="9"/>
            <color indexed="81"/>
            <rFont val="돋움"/>
            <family val="3"/>
            <charset val="129"/>
          </rPr>
          <t>예산자료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입히기</t>
        </r>
      </text>
    </comment>
    <comment ref="AL99" authorId="0" shapeId="0">
      <text>
        <r>
          <rPr>
            <b/>
            <sz val="9"/>
            <color indexed="81"/>
            <rFont val="돋움"/>
            <family val="3"/>
            <charset val="129"/>
          </rPr>
          <t>예산자료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입히기</t>
        </r>
      </text>
    </comment>
    <comment ref="AN99" authorId="0" shapeId="0">
      <text>
        <r>
          <rPr>
            <b/>
            <sz val="9"/>
            <color indexed="81"/>
            <rFont val="돋움"/>
            <family val="3"/>
            <charset val="129"/>
          </rPr>
          <t>예산자료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입히기</t>
        </r>
      </text>
    </comment>
    <comment ref="GA105" authorId="0" shapeId="0">
      <text>
        <r>
          <rPr>
            <b/>
            <sz val="9"/>
            <color indexed="81"/>
            <rFont val="돋움"/>
            <family val="3"/>
            <charset val="129"/>
          </rPr>
          <t>만든 이:</t>
        </r>
        <r>
          <rPr>
            <sz val="9"/>
            <color indexed="81"/>
            <rFont val="돋움"/>
            <family val="3"/>
            <charset val="129"/>
          </rPr>
          <t xml:space="preserve">
기타비용</t>
        </r>
        <r>
          <rPr>
            <sz val="9"/>
            <color indexed="81"/>
            <rFont val="Tahoma"/>
            <family val="2"/>
          </rPr>
          <t xml:space="preserve">:958,600
</t>
        </r>
        <r>
          <rPr>
            <sz val="9"/>
            <color indexed="81"/>
            <rFont val="돋움"/>
            <family val="3"/>
            <charset val="129"/>
          </rPr>
          <t>지급수수료</t>
        </r>
        <r>
          <rPr>
            <sz val="9"/>
            <color indexed="81"/>
            <rFont val="Tahoma"/>
            <family val="2"/>
          </rPr>
          <t>:7,200,000</t>
        </r>
      </text>
    </comment>
    <comment ref="P114" authorId="0" shapeId="0">
      <text>
        <r>
          <rPr>
            <b/>
            <sz val="9"/>
            <color indexed="81"/>
            <rFont val="돋움"/>
            <family val="3"/>
            <charset val="129"/>
          </rPr>
          <t>시설유지비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일반관리비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외주용역비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광고홍보비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수선유지비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수도광열비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기타관리비용</t>
        </r>
      </text>
    </comment>
    <comment ref="P115" authorId="0" shapeId="0">
      <text>
        <r>
          <rPr>
            <b/>
            <sz val="9"/>
            <color indexed="81"/>
            <rFont val="돋움"/>
            <family val="3"/>
            <charset val="129"/>
          </rPr>
          <t>시설유지비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일반관리비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외주용역비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광고홍보비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수선유지비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수도광열비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기타관리비용</t>
        </r>
      </text>
    </comment>
    <comment ref="S115" authorId="0" shapeId="0">
      <text>
        <r>
          <rPr>
            <sz val="12"/>
            <color indexed="81"/>
            <rFont val="돋움"/>
            <family val="3"/>
            <charset val="129"/>
          </rPr>
          <t>시설유지비+일반관리비+외주용역비+광고홍보비+기타관리비용</t>
        </r>
      </text>
    </comment>
    <comment ref="S116" authorId="0" shapeId="0">
      <text>
        <r>
          <rPr>
            <b/>
            <sz val="9"/>
            <color indexed="81"/>
            <rFont val="돋움"/>
            <family val="3"/>
            <charset val="129"/>
          </rPr>
          <t>공용관리비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고지서상</t>
        </r>
        <r>
          <rPr>
            <b/>
            <sz val="9"/>
            <color indexed="81"/>
            <rFont val="Tahoma"/>
            <family val="2"/>
          </rPr>
          <t xml:space="preserve"> 
</t>
        </r>
        <r>
          <rPr>
            <b/>
            <sz val="9"/>
            <color indexed="81"/>
            <rFont val="돋움"/>
            <family val="3"/>
            <charset val="129"/>
          </rPr>
          <t xml:space="preserve">수도광열비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S117" authorId="0" shapeId="0">
      <text>
        <r>
          <rPr>
            <b/>
            <sz val="9"/>
            <color indexed="81"/>
            <rFont val="돋움"/>
            <family val="3"/>
            <charset val="129"/>
          </rPr>
          <t>공용관리비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고지서상</t>
        </r>
        <r>
          <rPr>
            <b/>
            <sz val="9"/>
            <color indexed="81"/>
            <rFont val="Tahoma"/>
            <family val="2"/>
          </rPr>
          <t xml:space="preserve"> 
</t>
        </r>
        <r>
          <rPr>
            <b/>
            <sz val="9"/>
            <color indexed="81"/>
            <rFont val="돋움"/>
            <family val="3"/>
            <charset val="129"/>
          </rPr>
          <t>수선유지비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S121" authorId="0" shapeId="0">
      <text>
        <r>
          <rPr>
            <b/>
            <sz val="9"/>
            <color indexed="81"/>
            <rFont val="돋움"/>
            <family val="3"/>
            <charset val="129"/>
          </rPr>
          <t>실적</t>
        </r>
        <r>
          <rPr>
            <b/>
            <sz val="9"/>
            <color indexed="81"/>
            <rFont val="Tahoma"/>
            <family val="2"/>
          </rPr>
          <t xml:space="preserve">: </t>
        </r>
        <r>
          <rPr>
            <b/>
            <sz val="9"/>
            <color indexed="81"/>
            <rFont val="돋움"/>
            <family val="3"/>
            <charset val="129"/>
          </rPr>
          <t>교통유발부담금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재산세</t>
        </r>
      </text>
    </comment>
    <comment ref="S123" authorId="0" shapeId="0">
      <text>
        <r>
          <rPr>
            <sz val="11"/>
            <color indexed="81"/>
            <rFont val="맑은 고딕"/>
            <family val="3"/>
            <charset val="129"/>
            <scheme val="major"/>
          </rPr>
          <t>재산세+종부세</t>
        </r>
      </text>
    </comment>
    <comment ref="S129" authorId="0" shapeId="0">
      <text>
        <r>
          <rPr>
            <sz val="9"/>
            <color indexed="81"/>
            <rFont val="돋움"/>
            <family val="3"/>
            <charset val="129"/>
          </rPr>
          <t>영업이익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돋움"/>
            <family val="3"/>
            <charset val="129"/>
          </rPr>
          <t>영업외수익</t>
        </r>
        <r>
          <rPr>
            <sz val="9"/>
            <color indexed="81"/>
            <rFont val="Tahoma"/>
            <family val="2"/>
          </rPr>
          <t xml:space="preserve">
-</t>
        </r>
        <r>
          <rPr>
            <sz val="9"/>
            <color indexed="81"/>
            <rFont val="돋움"/>
            <family val="3"/>
            <charset val="129"/>
          </rPr>
          <t>영업외비용</t>
        </r>
        <r>
          <rPr>
            <sz val="9"/>
            <color indexed="81"/>
            <rFont val="Tahoma"/>
            <family val="2"/>
          </rPr>
          <t xml:space="preserve"> = </t>
        </r>
        <r>
          <rPr>
            <sz val="9"/>
            <color indexed="81"/>
            <rFont val="돋움"/>
            <family val="3"/>
            <charset val="129"/>
          </rPr>
          <t>당기순이익</t>
        </r>
      </text>
    </comment>
  </commentList>
</comments>
</file>

<file path=xl/comments6.xml><?xml version="1.0" encoding="utf-8"?>
<comments xmlns="http://schemas.openxmlformats.org/spreadsheetml/2006/main">
  <authors>
    <author>만든 이</author>
  </authors>
  <commentList>
    <comment ref="C39" authorId="0" shapeId="0">
      <text>
        <r>
          <rPr>
            <sz val="10"/>
            <color indexed="81"/>
            <rFont val="맑은 고딕"/>
            <family val="3"/>
            <charset val="129"/>
            <scheme val="major"/>
          </rPr>
          <t>종합부동산세 포함</t>
        </r>
      </text>
    </comment>
    <comment ref="C54" authorId="0" shapeId="0">
      <text>
        <r>
          <rPr>
            <b/>
            <sz val="9"/>
            <color indexed="81"/>
            <rFont val="돋움"/>
            <family val="3"/>
            <charset val="129"/>
          </rPr>
          <t>실비성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관리비</t>
        </r>
        <r>
          <rPr>
            <b/>
            <sz val="9"/>
            <color indexed="81"/>
            <rFont val="Tahoma"/>
            <family val="2"/>
          </rPr>
          <t xml:space="preserve"> -
</t>
        </r>
        <r>
          <rPr>
            <b/>
            <sz val="9"/>
            <color indexed="81"/>
            <rFont val="돋움"/>
            <family val="3"/>
            <charset val="129"/>
          </rPr>
          <t>소모품비</t>
        </r>
      </text>
    </comment>
    <comment ref="C56" authorId="0" shapeId="0">
      <text>
        <r>
          <rPr>
            <b/>
            <sz val="9"/>
            <color indexed="81"/>
            <rFont val="돋움"/>
            <family val="3"/>
            <charset val="129"/>
          </rPr>
          <t>승강기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유지보수료</t>
        </r>
        <r>
          <rPr>
            <b/>
            <sz val="9"/>
            <color indexed="81"/>
            <rFont val="Tahoma"/>
            <family val="2"/>
          </rPr>
          <t xml:space="preserve">+
</t>
        </r>
        <r>
          <rPr>
            <b/>
            <sz val="9"/>
            <color indexed="81"/>
            <rFont val="돋움"/>
            <family val="3"/>
            <charset val="129"/>
          </rPr>
          <t>전자세금계산서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대행료외</t>
        </r>
        <r>
          <rPr>
            <b/>
            <sz val="9"/>
            <color indexed="81"/>
            <rFont val="Tahoma"/>
            <family val="2"/>
          </rPr>
          <t xml:space="preserve">+
</t>
        </r>
        <r>
          <rPr>
            <b/>
            <sz val="9"/>
            <color indexed="81"/>
            <rFont val="돋움"/>
            <family val="3"/>
            <charset val="129"/>
          </rPr>
          <t>지급수수료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돋움"/>
            <family val="3"/>
            <charset val="129"/>
          </rPr>
          <t>고정성관리비</t>
        </r>
        <r>
          <rPr>
            <b/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실비성관리비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모두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포함</t>
        </r>
        <r>
          <rPr>
            <b/>
            <sz val="9"/>
            <color indexed="81"/>
            <rFont val="Tahoma"/>
            <family val="2"/>
          </rPr>
          <t>)</t>
        </r>
      </text>
    </comment>
    <comment ref="C59" authorId="0" shapeId="0">
      <text>
        <r>
          <rPr>
            <b/>
            <sz val="9"/>
            <color indexed="81"/>
            <rFont val="돋움"/>
            <family val="3"/>
            <charset val="129"/>
          </rPr>
          <t>저녹스버너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교체에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따른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정부지원금</t>
        </r>
      </text>
    </comment>
    <comment ref="C71" authorId="0" shapeId="0">
      <text>
        <r>
          <rPr>
            <b/>
            <sz val="10"/>
            <color indexed="81"/>
            <rFont val="맑은 고딕"/>
            <family val="3"/>
            <charset val="129"/>
            <scheme val="major"/>
          </rPr>
          <t>연 약 2회 실시
일정량 쌓이면 처리하기때문에 불규칙적</t>
        </r>
      </text>
    </comment>
    <comment ref="C78" authorId="0" shapeId="0">
      <text>
        <r>
          <rPr>
            <b/>
            <sz val="9"/>
            <color indexed="81"/>
            <rFont val="돋움"/>
            <family val="3"/>
            <charset val="129"/>
          </rPr>
          <t>만든 이:</t>
        </r>
        <r>
          <rPr>
            <sz val="9"/>
            <color indexed="81"/>
            <rFont val="돋움"/>
            <family val="3"/>
            <charset val="129"/>
          </rPr>
          <t xml:space="preserve">
고지서</t>
        </r>
        <r>
          <rPr>
            <sz val="9"/>
            <color indexed="81"/>
            <rFont val="Tahoma"/>
            <family val="2"/>
          </rPr>
          <t>-</t>
        </r>
        <r>
          <rPr>
            <sz val="9"/>
            <color indexed="81"/>
            <rFont val="돋움"/>
            <family val="3"/>
            <charset val="129"/>
          </rPr>
          <t>전기</t>
        </r>
        <r>
          <rPr>
            <sz val="9"/>
            <color indexed="81"/>
            <rFont val="Tahoma"/>
            <family val="2"/>
          </rPr>
          <t>)</t>
        </r>
        <r>
          <rPr>
            <sz val="9"/>
            <color indexed="81"/>
            <rFont val="돋움"/>
            <family val="3"/>
            <charset val="129"/>
          </rPr>
          <t>기본료</t>
        </r>
      </text>
    </comment>
    <comment ref="C79" authorId="0" shapeId="0">
      <text>
        <r>
          <rPr>
            <b/>
            <sz val="9"/>
            <color indexed="81"/>
            <rFont val="돋움"/>
            <family val="3"/>
            <charset val="129"/>
          </rPr>
          <t>만든 이:</t>
        </r>
        <r>
          <rPr>
            <sz val="9"/>
            <color indexed="81"/>
            <rFont val="돋움"/>
            <family val="3"/>
            <charset val="129"/>
          </rPr>
          <t xml:space="preserve">
고지서</t>
        </r>
        <r>
          <rPr>
            <sz val="9"/>
            <color indexed="81"/>
            <rFont val="Tahoma"/>
            <family val="2"/>
          </rPr>
          <t>-</t>
        </r>
        <r>
          <rPr>
            <sz val="9"/>
            <color indexed="81"/>
            <rFont val="돋움"/>
            <family val="3"/>
            <charset val="129"/>
          </rPr>
          <t>전기</t>
        </r>
        <r>
          <rPr>
            <sz val="9"/>
            <color indexed="81"/>
            <rFont val="Tahoma"/>
            <family val="2"/>
          </rPr>
          <t>)</t>
        </r>
        <r>
          <rPr>
            <sz val="9"/>
            <color indexed="81"/>
            <rFont val="돋움"/>
            <family val="3"/>
            <charset val="129"/>
          </rPr>
          <t>전체공용</t>
        </r>
      </text>
    </comment>
    <comment ref="C80" authorId="0" shapeId="0">
      <text>
        <r>
          <rPr>
            <b/>
            <sz val="9"/>
            <color indexed="81"/>
            <rFont val="돋움"/>
            <family val="3"/>
            <charset val="129"/>
          </rPr>
          <t>만든 이:</t>
        </r>
        <r>
          <rPr>
            <sz val="9"/>
            <color indexed="81"/>
            <rFont val="돋움"/>
            <family val="3"/>
            <charset val="129"/>
          </rPr>
          <t xml:space="preserve">
고지서</t>
        </r>
        <r>
          <rPr>
            <sz val="9"/>
            <color indexed="81"/>
            <rFont val="Tahoma"/>
            <family val="2"/>
          </rPr>
          <t>-</t>
        </r>
        <r>
          <rPr>
            <sz val="9"/>
            <color indexed="81"/>
            <rFont val="돋움"/>
            <family val="3"/>
            <charset val="129"/>
          </rPr>
          <t>전기</t>
        </r>
        <r>
          <rPr>
            <sz val="9"/>
            <color indexed="81"/>
            <rFont val="Tahoma"/>
            <family val="2"/>
          </rPr>
          <t>)</t>
        </r>
        <r>
          <rPr>
            <sz val="9"/>
            <color indexed="81"/>
            <rFont val="돋움"/>
            <family val="3"/>
            <charset val="129"/>
          </rPr>
          <t>층공용</t>
        </r>
      </text>
    </comment>
    <comment ref="C81" authorId="0" shapeId="0">
      <text>
        <r>
          <rPr>
            <b/>
            <sz val="9"/>
            <color indexed="81"/>
            <rFont val="돋움"/>
            <family val="3"/>
            <charset val="129"/>
          </rPr>
          <t>만든 이:</t>
        </r>
        <r>
          <rPr>
            <sz val="9"/>
            <color indexed="81"/>
            <rFont val="돋움"/>
            <family val="3"/>
            <charset val="129"/>
          </rPr>
          <t xml:space="preserve">
고지서</t>
        </r>
        <r>
          <rPr>
            <sz val="9"/>
            <color indexed="81"/>
            <rFont val="Tahoma"/>
            <family val="2"/>
          </rPr>
          <t>-</t>
        </r>
        <r>
          <rPr>
            <sz val="9"/>
            <color indexed="81"/>
            <rFont val="돋움"/>
            <family val="3"/>
            <charset val="129"/>
          </rPr>
          <t>전기</t>
        </r>
        <r>
          <rPr>
            <sz val="9"/>
            <color indexed="81"/>
            <rFont val="Tahoma"/>
            <family val="2"/>
          </rPr>
          <t>)</t>
        </r>
        <r>
          <rPr>
            <sz val="9"/>
            <color indexed="81"/>
            <rFont val="돋움"/>
            <family val="3"/>
            <charset val="129"/>
          </rPr>
          <t>전용</t>
        </r>
      </text>
    </comment>
    <comment ref="C82" authorId="0" shapeId="0">
      <text>
        <r>
          <rPr>
            <b/>
            <sz val="9"/>
            <color indexed="81"/>
            <rFont val="돋움"/>
            <family val="3"/>
            <charset val="129"/>
          </rPr>
          <t>만든 이:</t>
        </r>
        <r>
          <rPr>
            <sz val="9"/>
            <color indexed="81"/>
            <rFont val="돋움"/>
            <family val="3"/>
            <charset val="129"/>
          </rPr>
          <t xml:space="preserve">
고지서</t>
        </r>
        <r>
          <rPr>
            <sz val="9"/>
            <color indexed="81"/>
            <rFont val="Tahoma"/>
            <family val="2"/>
          </rPr>
          <t>-</t>
        </r>
        <r>
          <rPr>
            <sz val="9"/>
            <color indexed="81"/>
            <rFont val="돋움"/>
            <family val="3"/>
            <charset val="129"/>
          </rPr>
          <t>전력기금</t>
        </r>
      </text>
    </comment>
    <comment ref="C83" authorId="0" shapeId="0">
      <text>
        <r>
          <rPr>
            <b/>
            <sz val="9"/>
            <color indexed="81"/>
            <rFont val="돋움"/>
            <family val="3"/>
            <charset val="129"/>
          </rPr>
          <t>만든 이:</t>
        </r>
        <r>
          <rPr>
            <sz val="9"/>
            <color indexed="81"/>
            <rFont val="돋움"/>
            <family val="3"/>
            <charset val="129"/>
          </rPr>
          <t xml:space="preserve">
고지서</t>
        </r>
        <r>
          <rPr>
            <sz val="9"/>
            <color indexed="81"/>
            <rFont val="Tahoma"/>
            <family val="2"/>
          </rPr>
          <t>-</t>
        </r>
        <r>
          <rPr>
            <sz val="9"/>
            <color indexed="81"/>
            <rFont val="돋움"/>
            <family val="3"/>
            <charset val="129"/>
          </rPr>
          <t>가스</t>
        </r>
        <r>
          <rPr>
            <sz val="9"/>
            <color indexed="81"/>
            <rFont val="Tahoma"/>
            <family val="2"/>
          </rPr>
          <t>)</t>
        </r>
        <r>
          <rPr>
            <sz val="9"/>
            <color indexed="81"/>
            <rFont val="돋움"/>
            <family val="3"/>
            <charset val="129"/>
          </rPr>
          <t>공용</t>
        </r>
      </text>
    </comment>
  </commentList>
</comments>
</file>

<file path=xl/comments7.xml><?xml version="1.0" encoding="utf-8"?>
<comments xmlns="http://schemas.openxmlformats.org/spreadsheetml/2006/main">
  <authors>
    <author>만든 이</author>
  </authors>
  <commentList>
    <comment ref="L8" authorId="0" shapeId="0">
      <text>
        <r>
          <rPr>
            <b/>
            <sz val="9"/>
            <color indexed="81"/>
            <rFont val="Tahoma"/>
            <family val="2"/>
          </rPr>
          <t>만든 이:</t>
        </r>
        <r>
          <rPr>
            <sz val="9"/>
            <color indexed="81"/>
            <rFont val="Tahoma"/>
            <family val="2"/>
          </rPr>
          <t xml:space="preserve">
- </t>
        </r>
        <r>
          <rPr>
            <sz val="9"/>
            <color indexed="81"/>
            <rFont val="돋움"/>
            <family val="3"/>
            <charset val="129"/>
          </rPr>
          <t>질권금액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변동
</t>
        </r>
        <r>
          <rPr>
            <sz val="9"/>
            <color indexed="81"/>
            <rFont val="Tahoma"/>
            <family val="2"/>
          </rPr>
          <t xml:space="preserve">  : 67,150,500</t>
        </r>
        <r>
          <rPr>
            <sz val="9"/>
            <color indexed="81"/>
            <rFont val="돋움"/>
            <family val="3"/>
            <charset val="129"/>
          </rPr>
          <t xml:space="preserve">원
</t>
        </r>
        <r>
          <rPr>
            <sz val="9"/>
            <color indexed="81"/>
            <rFont val="Tahoma"/>
            <family val="2"/>
          </rPr>
          <t xml:space="preserve">- </t>
        </r>
        <r>
          <rPr>
            <sz val="9"/>
            <color indexed="81"/>
            <rFont val="돋움"/>
            <family val="3"/>
            <charset val="129"/>
          </rPr>
          <t>운영계좌에서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보증금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환급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13" authorId="0" shapeId="0">
      <text>
        <r>
          <rPr>
            <sz val="9"/>
            <color indexed="81"/>
            <rFont val="돋움"/>
            <family val="3"/>
            <charset val="129"/>
          </rPr>
          <t>자동재예치가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가능하나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질권존속기간중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이자지급동의서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날인으로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인하여</t>
        </r>
        <r>
          <rPr>
            <sz val="9"/>
            <color indexed="81"/>
            <rFont val="Tahoma"/>
            <family val="2"/>
          </rPr>
          <t xml:space="preserve"> 21</t>
        </r>
        <r>
          <rPr>
            <sz val="9"/>
            <color indexed="81"/>
            <rFont val="돋움"/>
            <family val="3"/>
            <charset val="129"/>
          </rPr>
          <t>년에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질권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진행하기로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함</t>
        </r>
        <r>
          <rPr>
            <sz val="9"/>
            <color indexed="81"/>
            <rFont val="Tahoma"/>
            <family val="2"/>
          </rPr>
          <t>(12/11</t>
        </r>
        <r>
          <rPr>
            <sz val="9"/>
            <color indexed="81"/>
            <rFont val="돋움"/>
            <family val="3"/>
            <charset val="129"/>
          </rPr>
          <t>통화완료</t>
        </r>
        <r>
          <rPr>
            <sz val="9"/>
            <color indexed="81"/>
            <rFont val="Tahoma"/>
            <family val="2"/>
          </rPr>
          <t>)</t>
        </r>
      </text>
    </comment>
    <comment ref="L39" authorId="0" shapeId="0">
      <text>
        <r>
          <rPr>
            <b/>
            <sz val="9"/>
            <color indexed="81"/>
            <rFont val="Tahoma"/>
            <family val="2"/>
          </rPr>
          <t>만든 이:</t>
        </r>
        <r>
          <rPr>
            <sz val="9"/>
            <color indexed="81"/>
            <rFont val="Tahoma"/>
            <family val="2"/>
          </rPr>
          <t xml:space="preserve">
- </t>
        </r>
        <r>
          <rPr>
            <sz val="9"/>
            <color indexed="81"/>
            <rFont val="돋움"/>
            <family val="3"/>
            <charset val="129"/>
          </rPr>
          <t>질권금액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변동
</t>
        </r>
        <r>
          <rPr>
            <sz val="9"/>
            <color indexed="81"/>
            <rFont val="Tahoma"/>
            <family val="2"/>
          </rPr>
          <t xml:space="preserve">  : 122,219,000</t>
        </r>
        <r>
          <rPr>
            <sz val="9"/>
            <color indexed="81"/>
            <rFont val="돋움"/>
            <family val="3"/>
            <charset val="129"/>
          </rPr>
          <t xml:space="preserve">원
</t>
        </r>
        <r>
          <rPr>
            <sz val="9"/>
            <color indexed="81"/>
            <rFont val="Tahoma"/>
            <family val="2"/>
          </rPr>
          <t xml:space="preserve">- </t>
        </r>
        <r>
          <rPr>
            <sz val="9"/>
            <color indexed="81"/>
            <rFont val="돋움"/>
            <family val="3"/>
            <charset val="129"/>
          </rPr>
          <t>운영계좌에서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보증금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환급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</t>
        </r>
      </text>
    </comment>
    <comment ref="F72" authorId="0" shapeId="0">
      <text>
        <r>
          <rPr>
            <b/>
            <sz val="11"/>
            <color indexed="81"/>
            <rFont val="돋움"/>
            <family val="3"/>
            <charset val="129"/>
          </rPr>
          <t>만든 이:</t>
        </r>
        <r>
          <rPr>
            <sz val="11"/>
            <color indexed="81"/>
            <rFont val="돋움"/>
            <family val="3"/>
            <charset val="129"/>
          </rPr>
          <t xml:space="preserve">
질권설정금액</t>
        </r>
        <r>
          <rPr>
            <sz val="11"/>
            <color indexed="81"/>
            <rFont val="Tahoma"/>
            <family val="2"/>
          </rPr>
          <t xml:space="preserve"> - </t>
        </r>
        <r>
          <rPr>
            <sz val="11"/>
            <color indexed="81"/>
            <rFont val="돋움"/>
            <family val="3"/>
            <charset val="129"/>
          </rPr>
          <t>반환금액</t>
        </r>
        <r>
          <rPr>
            <sz val="9"/>
            <color indexed="81"/>
            <rFont val="돋움"/>
            <family val="3"/>
            <charset val="129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만든 이</author>
  </authors>
  <commentList>
    <comment ref="E27" authorId="0" shapeId="0">
      <text>
        <r>
          <rPr>
            <b/>
            <sz val="9"/>
            <color rgb="FF000000"/>
            <rFont val="Tahoma"/>
            <family val="2"/>
          </rPr>
          <t>LED</t>
        </r>
        <r>
          <rPr>
            <b/>
            <sz val="9"/>
            <color rgb="FF000000"/>
            <rFont val="돋움"/>
            <family val="3"/>
            <charset val="129"/>
          </rPr>
          <t>램프로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교체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후
폐램프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수량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감소로
폐램프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처리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연기</t>
        </r>
      </text>
    </comment>
    <comment ref="C29" authorId="0" shapeId="0">
      <text>
        <r>
          <rPr>
            <b/>
            <sz val="9"/>
            <color rgb="FF000000"/>
            <rFont val="돋움"/>
            <family val="3"/>
            <charset val="129"/>
          </rPr>
          <t>최초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설치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후</t>
        </r>
        <r>
          <rPr>
            <b/>
            <sz val="9"/>
            <color rgb="FF000000"/>
            <rFont val="Tahoma"/>
            <family val="2"/>
          </rPr>
          <t xml:space="preserve"> 15</t>
        </r>
        <r>
          <rPr>
            <b/>
            <sz val="9"/>
            <color rgb="FF000000"/>
            <rFont val="돋움"/>
            <family val="3"/>
            <charset val="129"/>
          </rPr>
          <t>년이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경과한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승강기의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경우</t>
        </r>
        <r>
          <rPr>
            <b/>
            <sz val="9"/>
            <color rgb="FF000000"/>
            <rFont val="Tahoma"/>
            <family val="2"/>
          </rPr>
          <t xml:space="preserve"> 3</t>
        </r>
        <r>
          <rPr>
            <b/>
            <sz val="9"/>
            <color rgb="FF000000"/>
            <rFont val="돋움"/>
            <family val="3"/>
            <charset val="129"/>
          </rPr>
          <t>년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주기로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정밀안전검사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 xml:space="preserve">시행
</t>
        </r>
      </text>
    </comment>
    <comment ref="S29" authorId="0" shapeId="0">
      <text>
        <r>
          <rPr>
            <b/>
            <sz val="9"/>
            <color rgb="FF000000"/>
            <rFont val="굴림"/>
            <family val="3"/>
            <charset val="129"/>
          </rPr>
          <t>승강기 안전관리공단사정으로 7/22~7/26 진행예정</t>
        </r>
      </text>
    </comment>
    <comment ref="C31" authorId="0" shapeId="0">
      <text>
        <r>
          <rPr>
            <b/>
            <sz val="9"/>
            <color rgb="FF000000"/>
            <rFont val="Tahoma"/>
            <family val="2"/>
          </rPr>
          <t xml:space="preserve">2022.10.20
</t>
        </r>
        <r>
          <rPr>
            <b/>
            <sz val="9"/>
            <color rgb="FF000000"/>
            <rFont val="돋움"/>
            <family val="3"/>
            <charset val="129"/>
          </rPr>
          <t>다중이용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건축물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대규모점포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점검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대상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제외
유한나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 xml:space="preserve">주무관
</t>
        </r>
        <r>
          <rPr>
            <b/>
            <sz val="9"/>
            <color rgb="FF000000"/>
            <rFont val="Tahoma"/>
            <family val="2"/>
          </rPr>
          <t xml:space="preserve">02-860-2391 </t>
        </r>
      </text>
    </comment>
  </commentList>
</comments>
</file>

<file path=xl/sharedStrings.xml><?xml version="1.0" encoding="utf-8"?>
<sst xmlns="http://schemas.openxmlformats.org/spreadsheetml/2006/main" count="5780" uniqueCount="2254">
  <si>
    <t>주식회사 케이비운용제1호위탁관리부동산투자회사</t>
    <phoneticPr fontId="8" type="noConversion"/>
  </si>
  <si>
    <t>1) 자산개요</t>
    <phoneticPr fontId="16" type="noConversion"/>
  </si>
  <si>
    <t>2) 리츠개요</t>
    <phoneticPr fontId="16" type="noConversion"/>
  </si>
  <si>
    <t>3) 보험가입현황</t>
    <phoneticPr fontId="16" type="noConversion"/>
  </si>
  <si>
    <t>2. 임대현황</t>
    <phoneticPr fontId="16" type="noConversion"/>
  </si>
  <si>
    <t>1) 관리 조직도</t>
    <phoneticPr fontId="16" type="noConversion"/>
  </si>
  <si>
    <t>3) 수도광열비 분석</t>
    <phoneticPr fontId="16" type="noConversion"/>
  </si>
  <si>
    <t>4) 법정검사, 보수 및 CAPEX 내역</t>
    <phoneticPr fontId="16" type="noConversion"/>
  </si>
  <si>
    <t>5) 임차인 서비스 요청</t>
    <phoneticPr fontId="8" type="noConversion"/>
  </si>
  <si>
    <t>빌 딩 명</t>
    <phoneticPr fontId="16" type="noConversion"/>
  </si>
  <si>
    <t>센터포인트 웨스트(Centre Point West)</t>
    <phoneticPr fontId="8" type="noConversion"/>
  </si>
  <si>
    <t>운용기간(개월)</t>
    <phoneticPr fontId="8" type="noConversion"/>
  </si>
  <si>
    <t>위    치</t>
    <phoneticPr fontId="16" type="noConversion"/>
  </si>
  <si>
    <t>서울시 구로구 새말로 97</t>
    <phoneticPr fontId="8" type="noConversion"/>
  </si>
  <si>
    <t>취득가액</t>
    <phoneticPr fontId="8" type="noConversion"/>
  </si>
  <si>
    <t>구    조</t>
    <phoneticPr fontId="16" type="noConversion"/>
  </si>
  <si>
    <t xml:space="preserve"> 철골/철근콘크리트 구조</t>
    <phoneticPr fontId="8" type="noConversion"/>
  </si>
  <si>
    <t>당월감가상가액</t>
    <phoneticPr fontId="8" type="noConversion"/>
  </si>
  <si>
    <t>규    모</t>
    <phoneticPr fontId="16" type="noConversion"/>
  </si>
  <si>
    <t>감가상각누계액</t>
    <phoneticPr fontId="8" type="noConversion"/>
  </si>
  <si>
    <t>준 공 일</t>
    <phoneticPr fontId="16" type="noConversion"/>
  </si>
  <si>
    <t>기말잔액</t>
    <phoneticPr fontId="8" type="noConversion"/>
  </si>
  <si>
    <t>엘리베이터</t>
    <phoneticPr fontId="16" type="noConversion"/>
  </si>
  <si>
    <t>13대(승객용 12대, 비상용 1대)</t>
    <phoneticPr fontId="8" type="noConversion"/>
  </si>
  <si>
    <t>소 유 주</t>
    <phoneticPr fontId="16" type="noConversion"/>
  </si>
  <si>
    <t>주차대수</t>
    <phoneticPr fontId="16" type="noConversion"/>
  </si>
  <si>
    <t>대지면적</t>
    <phoneticPr fontId="16" type="noConversion"/>
  </si>
  <si>
    <t>연 면 적</t>
    <phoneticPr fontId="16" type="noConversion"/>
  </si>
  <si>
    <t>비    고</t>
    <phoneticPr fontId="16" type="noConversion"/>
  </si>
  <si>
    <t>지하철 1,2호선 신도림역 연결</t>
    <phoneticPr fontId="8" type="noConversion"/>
  </si>
  <si>
    <t>(단위:원)</t>
    <phoneticPr fontId="16" type="noConversion"/>
  </si>
  <si>
    <t>취득가액</t>
    <phoneticPr fontId="16" type="noConversion"/>
  </si>
  <si>
    <t>자본적지출</t>
    <phoneticPr fontId="16" type="noConversion"/>
  </si>
  <si>
    <t>구분</t>
    <phoneticPr fontId="16" type="noConversion"/>
  </si>
  <si>
    <t>토지</t>
    <phoneticPr fontId="16" type="noConversion"/>
  </si>
  <si>
    <t>건물</t>
    <phoneticPr fontId="16" type="noConversion"/>
  </si>
  <si>
    <t>합계</t>
    <phoneticPr fontId="16" type="noConversion"/>
  </si>
  <si>
    <t>Total</t>
    <phoneticPr fontId="20" type="noConversion"/>
  </si>
  <si>
    <t>리 츠 명</t>
    <phoneticPr fontId="16" type="noConversion"/>
  </si>
  <si>
    <t>신한은행</t>
    <phoneticPr fontId="8" type="noConversion"/>
  </si>
  <si>
    <t>(단위 : 원, %)</t>
    <phoneticPr fontId="16" type="noConversion"/>
  </si>
  <si>
    <t>전월 말</t>
    <phoneticPr fontId="16" type="noConversion"/>
  </si>
  <si>
    <t>당월 말</t>
    <phoneticPr fontId="8" type="noConversion"/>
  </si>
  <si>
    <t>증감률(%)</t>
    <phoneticPr fontId="16" type="noConversion"/>
  </si>
  <si>
    <t>당좌자산</t>
    <phoneticPr fontId="8" type="noConversion"/>
  </si>
  <si>
    <t>투자자산</t>
    <phoneticPr fontId="8" type="noConversion"/>
  </si>
  <si>
    <t>유형자산</t>
    <phoneticPr fontId="8" type="noConversion"/>
  </si>
  <si>
    <t>기타비유동자산</t>
    <phoneticPr fontId="8" type="noConversion"/>
  </si>
  <si>
    <t xml:space="preserve">  ♦ 주주현황</t>
    <phoneticPr fontId="20" type="noConversion"/>
  </si>
  <si>
    <t>(단위 : %)</t>
    <phoneticPr fontId="16" type="noConversion"/>
  </si>
  <si>
    <t>주주명</t>
    <phoneticPr fontId="8" type="noConversion"/>
  </si>
  <si>
    <t>주식수</t>
    <phoneticPr fontId="8" type="noConversion"/>
  </si>
  <si>
    <t>지분율</t>
    <phoneticPr fontId="8" type="noConversion"/>
  </si>
  <si>
    <t>1주의 금액*
(발행가액)</t>
    <phoneticPr fontId="8" type="noConversion"/>
  </si>
  <si>
    <t>납입금액</t>
    <phoneticPr fontId="8" type="noConversion"/>
  </si>
  <si>
    <t>1,260,000주</t>
    <phoneticPr fontId="8" type="noConversion"/>
  </si>
  <si>
    <t>금5,000원
(50,000원)</t>
    <phoneticPr fontId="8" type="noConversion"/>
  </si>
  <si>
    <t>금63,000,000,000원</t>
    <phoneticPr fontId="8" type="noConversion"/>
  </si>
  <si>
    <t>해당없음</t>
    <phoneticPr fontId="8" type="noConversion"/>
  </si>
  <si>
    <t>에이(A)종류주식</t>
    <phoneticPr fontId="8" type="noConversion"/>
  </si>
  <si>
    <t>KB리츠전문투자형사모부동산투자신탁제1호의 신탁업자(주식회사 한국스탠다드차타드은행)</t>
    <phoneticPr fontId="8" type="noConversion"/>
  </si>
  <si>
    <t>220,000주</t>
    <phoneticPr fontId="8" type="noConversion"/>
  </si>
  <si>
    <t>금11,000,000,000원</t>
    <phoneticPr fontId="8" type="noConversion"/>
  </si>
  <si>
    <t>KB증권 주식회사</t>
    <phoneticPr fontId="8" type="noConversion"/>
  </si>
  <si>
    <t>110,000주</t>
    <phoneticPr fontId="8" type="noConversion"/>
  </si>
  <si>
    <t>금5,500,000,000원</t>
    <phoneticPr fontId="8" type="noConversion"/>
  </si>
  <si>
    <t>셀비아제일차 주식회사</t>
    <phoneticPr fontId="8" type="noConversion"/>
  </si>
  <si>
    <t>100,000주</t>
    <phoneticPr fontId="8" type="noConversion"/>
  </si>
  <si>
    <t>금5,000원
(48,000원)</t>
    <phoneticPr fontId="8" type="noConversion"/>
  </si>
  <si>
    <t>금4,800,000,000원</t>
    <phoneticPr fontId="8" type="noConversion"/>
  </si>
  <si>
    <t>주식회사 OSB저축은행</t>
    <phoneticPr fontId="8" type="noConversion"/>
  </si>
  <si>
    <t>60,000주</t>
    <phoneticPr fontId="8" type="noConversion"/>
  </si>
  <si>
    <t>금3,000,000,000원</t>
    <phoneticPr fontId="8" type="noConversion"/>
  </si>
  <si>
    <t>주식회사 키움저축은행</t>
    <phoneticPr fontId="8" type="noConversion"/>
  </si>
  <si>
    <t>50,000주</t>
    <phoneticPr fontId="8" type="noConversion"/>
  </si>
  <si>
    <t>금2,500,000,000원</t>
    <phoneticPr fontId="8" type="noConversion"/>
  </si>
  <si>
    <t>주식회사 키움예스저축은행</t>
    <phoneticPr fontId="8" type="noConversion"/>
  </si>
  <si>
    <t>40,000주</t>
    <phoneticPr fontId="8" type="noConversion"/>
  </si>
  <si>
    <t>금2,000,000,000원</t>
    <phoneticPr fontId="8" type="noConversion"/>
  </si>
  <si>
    <t>대한소방공제회</t>
    <phoneticPr fontId="8" type="noConversion"/>
  </si>
  <si>
    <t>200,000주</t>
    <phoneticPr fontId="8" type="noConversion"/>
  </si>
  <si>
    <t>금9,600,000,000원</t>
    <phoneticPr fontId="8" type="noConversion"/>
  </si>
  <si>
    <t>비(B)종류주식</t>
    <phoneticPr fontId="8" type="noConversion"/>
  </si>
  <si>
    <t>KB리츠전문투자형사모부동산투자신탁제2호의 신탁업자(주식회사 한국스탠다드차타드은행)</t>
    <phoneticPr fontId="8" type="noConversion"/>
  </si>
  <si>
    <t>금5,000원
(49,000원)</t>
    <phoneticPr fontId="8" type="noConversion"/>
  </si>
  <si>
    <t>금5,390,000,000원</t>
    <phoneticPr fontId="8" type="noConversion"/>
  </si>
  <si>
    <t>IBK투자증권 주식회사</t>
    <phoneticPr fontId="8" type="noConversion"/>
  </si>
  <si>
    <t>90,000주</t>
    <phoneticPr fontId="8" type="noConversion"/>
  </si>
  <si>
    <t>금4,320,000,000원</t>
    <phoneticPr fontId="8" type="noConversion"/>
  </si>
  <si>
    <t>KB자산운용 주식회사</t>
    <phoneticPr fontId="8" type="noConversion"/>
  </si>
  <si>
    <t>금5,000원
(50,000원)</t>
  </si>
  <si>
    <t>금5,000,000,000원</t>
    <phoneticPr fontId="8" type="noConversion"/>
  </si>
  <si>
    <t>주식회사 케이티에스테이트</t>
    <phoneticPr fontId="8" type="noConversion"/>
  </si>
  <si>
    <t>80,000주</t>
    <phoneticPr fontId="8" type="noConversion"/>
  </si>
  <si>
    <t>금4,000,000,000원</t>
    <phoneticPr fontId="8" type="noConversion"/>
  </si>
  <si>
    <t>주식회사 맥서브</t>
    <phoneticPr fontId="8" type="noConversion"/>
  </si>
  <si>
    <t>한국전자금융 주식회사</t>
    <phoneticPr fontId="8" type="noConversion"/>
  </si>
  <si>
    <t>2,540,000주</t>
    <phoneticPr fontId="8" type="noConversion"/>
  </si>
  <si>
    <t>금126,110,000,000원</t>
    <phoneticPr fontId="8" type="noConversion"/>
  </si>
  <si>
    <t xml:space="preserve"> * 1주의 액면가액은 금 5,000원이며, 발행가액은 50,000원이나 일부 할인발행 하였음</t>
    <phoneticPr fontId="8" type="noConversion"/>
  </si>
  <si>
    <t xml:space="preserve">  ♦ 대주현황</t>
    <phoneticPr fontId="20" type="noConversion"/>
  </si>
  <si>
    <t>차입기관</t>
    <phoneticPr fontId="8" type="noConversion"/>
  </si>
  <si>
    <t>구분</t>
    <phoneticPr fontId="8" type="noConversion"/>
  </si>
  <si>
    <t>차입금액</t>
    <phoneticPr fontId="8" type="noConversion"/>
  </si>
  <si>
    <t>상환금액</t>
    <phoneticPr fontId="8" type="noConversion"/>
  </si>
  <si>
    <t>잔액</t>
    <phoneticPr fontId="8" type="noConversion"/>
  </si>
  <si>
    <t>금리</t>
    <phoneticPr fontId="8" type="noConversion"/>
  </si>
  <si>
    <t>기간</t>
    <phoneticPr fontId="8" type="noConversion"/>
  </si>
  <si>
    <t>새마을금고중앙회</t>
    <phoneticPr fontId="8" type="noConversion"/>
  </si>
  <si>
    <t>선순위</t>
    <phoneticPr fontId="8" type="noConversion"/>
  </si>
  <si>
    <t>2021.9.15~2026.9.15</t>
    <phoneticPr fontId="8" type="noConversion"/>
  </si>
  <si>
    <t>농협생명보험㈜</t>
    <phoneticPr fontId="8" type="noConversion"/>
  </si>
  <si>
    <t>키움저축은행</t>
    <phoneticPr fontId="8" type="noConversion"/>
  </si>
  <si>
    <t>중순위</t>
    <phoneticPr fontId="8" type="noConversion"/>
  </si>
  <si>
    <t>키움예스저축은행</t>
    <phoneticPr fontId="8" type="noConversion"/>
  </si>
  <si>
    <t xml:space="preserve">  ♦ 보험현황</t>
    <phoneticPr fontId="20" type="noConversion"/>
  </si>
  <si>
    <t>보상한도액</t>
    <phoneticPr fontId="8" type="noConversion"/>
  </si>
  <si>
    <t>비고</t>
    <phoneticPr fontId="8" type="noConversion"/>
  </si>
  <si>
    <t>전월 대비 差</t>
  </si>
  <si>
    <t>당월 예산</t>
  </si>
  <si>
    <t>예산 대비 差</t>
  </si>
  <si>
    <t>층</t>
    <phoneticPr fontId="8" type="noConversion"/>
  </si>
  <si>
    <t>임대료</t>
  </si>
  <si>
    <t>관리비</t>
  </si>
  <si>
    <t>DB손해보험㈜</t>
  </si>
  <si>
    <t>콘센트릭스서비스</t>
  </si>
  <si>
    <t>한화손해보험㈜</t>
  </si>
  <si>
    <t>내츄럴헬스케어 주식회사</t>
  </si>
  <si>
    <t>엘지유플러스</t>
  </si>
  <si>
    <t>주식회사 케이비손해보험</t>
  </si>
  <si>
    <t>주식회사 케이티</t>
  </si>
  <si>
    <t>제니엘맥</t>
  </si>
  <si>
    <t>(사)생명보험협회</t>
  </si>
  <si>
    <t>해온한의원</t>
  </si>
  <si>
    <t xml:space="preserve">아임플치과의원  </t>
  </si>
  <si>
    <t>삼성드림안과</t>
  </si>
  <si>
    <t>라온약국</t>
  </si>
  <si>
    <t>유니앤미헤어살롱</t>
  </si>
  <si>
    <t>삼성카드㈜</t>
  </si>
  <si>
    <t>㈜우리카드</t>
  </si>
  <si>
    <t>삼성화재해상보험㈜</t>
  </si>
  <si>
    <t>메리츠화재해상보험㈜</t>
  </si>
  <si>
    <t>한화생명보험㈜</t>
  </si>
  <si>
    <t>한화생명금융서비스㈜</t>
  </si>
  <si>
    <t>미래에셋생명보험㈜</t>
  </si>
  <si>
    <t>㈜한국쯔바키모토</t>
  </si>
  <si>
    <t>한화라이프랩㈜</t>
  </si>
  <si>
    <t>교보생명보험㈜</t>
  </si>
  <si>
    <t>롯데카드 주식회사</t>
  </si>
  <si>
    <t>삼성카드고객서비스 주식회사</t>
  </si>
  <si>
    <t>임대료</t>
    <phoneticPr fontId="20" type="noConversion"/>
  </si>
  <si>
    <t>관리비</t>
    <phoneticPr fontId="20" type="noConversion"/>
  </si>
  <si>
    <t>구        분</t>
  </si>
  <si>
    <t>합      계</t>
  </si>
  <si>
    <t>라인업의원</t>
  </si>
  <si>
    <t>추가전기료</t>
  </si>
  <si>
    <t>추가전력기금</t>
  </si>
  <si>
    <t>추가냉난방</t>
  </si>
  <si>
    <t>엘비휴넷</t>
  </si>
  <si>
    <t>추가장비 전기료</t>
  </si>
  <si>
    <t>추가장비 전력기금</t>
  </si>
  <si>
    <t>KIS정보통신㈜</t>
  </si>
  <si>
    <t>삼성카드 고객서비스㈜</t>
  </si>
  <si>
    <t>계</t>
    <phoneticPr fontId="20" type="noConversion"/>
  </si>
  <si>
    <t>임대면적</t>
    <phoneticPr fontId="8" type="noConversion"/>
  </si>
  <si>
    <t>NOC</t>
    <phoneticPr fontId="8" type="noConversion"/>
  </si>
  <si>
    <t>%</t>
  </si>
  <si>
    <t>합계</t>
  </si>
  <si>
    <t>보증금</t>
    <phoneticPr fontId="20" type="noConversion"/>
  </si>
  <si>
    <t>-</t>
  </si>
  <si>
    <t>임대면적</t>
    <phoneticPr fontId="20" type="noConversion"/>
  </si>
  <si>
    <t>3) 공실현황</t>
    <phoneticPr fontId="20" type="noConversion"/>
  </si>
  <si>
    <t xml:space="preserve">  ♦ 공실내역</t>
    <phoneticPr fontId="20" type="noConversion"/>
  </si>
  <si>
    <t>(단위 : 평, 원, VAT 별도)</t>
    <phoneticPr fontId="20" type="noConversion"/>
  </si>
  <si>
    <t>공실현황 및 예상</t>
    <phoneticPr fontId="20" type="noConversion"/>
  </si>
  <si>
    <t>임대차기간</t>
    <phoneticPr fontId="20" type="noConversion"/>
  </si>
  <si>
    <t>비고</t>
    <phoneticPr fontId="20" type="noConversion"/>
  </si>
  <si>
    <t>입주사</t>
    <phoneticPr fontId="8" type="noConversion"/>
  </si>
  <si>
    <t>시작</t>
    <phoneticPr fontId="20" type="noConversion"/>
  </si>
  <si>
    <t>만료</t>
    <phoneticPr fontId="20" type="noConversion"/>
  </si>
  <si>
    <t xml:space="preserve">  ♦ 공실 마케팅 내역</t>
    <phoneticPr fontId="20" type="noConversion"/>
  </si>
  <si>
    <t>층</t>
    <phoneticPr fontId="20" type="noConversion"/>
  </si>
  <si>
    <t>입주사</t>
    <phoneticPr fontId="20" type="noConversion"/>
  </si>
  <si>
    <t>요구보증금</t>
    <phoneticPr fontId="20" type="noConversion"/>
  </si>
  <si>
    <t>요구임대료,관리비</t>
    <phoneticPr fontId="20" type="noConversion"/>
  </si>
  <si>
    <t>예상입주일</t>
    <phoneticPr fontId="20" type="noConversion"/>
  </si>
  <si>
    <t>현상태(%)</t>
    <phoneticPr fontId="20" type="noConversion"/>
  </si>
  <si>
    <t>차이</t>
    <phoneticPr fontId="20" type="noConversion"/>
  </si>
  <si>
    <t>12F</t>
    <phoneticPr fontId="8" type="noConversion"/>
  </si>
  <si>
    <t>생명보험협회</t>
  </si>
  <si>
    <t>실질
임대료</t>
    <phoneticPr fontId="8" type="noConversion"/>
  </si>
  <si>
    <t>3.</t>
  </si>
  <si>
    <t>4.</t>
  </si>
  <si>
    <t>5.</t>
  </si>
  <si>
    <t>6.</t>
  </si>
  <si>
    <t>7.</t>
  </si>
  <si>
    <t>8.</t>
  </si>
  <si>
    <t>9.</t>
  </si>
  <si>
    <t>미지급자산관리보수</t>
  </si>
  <si>
    <t>미지급자산보관보수</t>
  </si>
  <si>
    <t>미지급사무관리보수</t>
  </si>
  <si>
    <t>미지급외부감사보수</t>
  </si>
  <si>
    <t>미지급세무용역보수</t>
  </si>
  <si>
    <t>미지급차입이자</t>
  </si>
  <si>
    <t>미처분이익잉여금</t>
  </si>
  <si>
    <t>이월결손금</t>
  </si>
  <si>
    <t>과목</t>
  </si>
  <si>
    <t>제8기  누계</t>
  </si>
  <si>
    <t>2021.09</t>
  </si>
  <si>
    <t>2021.04</t>
  </si>
  <si>
    <t>제6기  누계</t>
  </si>
  <si>
    <t>제5기  누계</t>
  </si>
  <si>
    <t>2019.12</t>
  </si>
  <si>
    <t>제4기  누계</t>
  </si>
  <si>
    <t>2018.12</t>
  </si>
  <si>
    <t>제1기  누계</t>
  </si>
  <si>
    <t>Ⅰ. 영업수익</t>
  </si>
  <si>
    <t>수선유지비</t>
    <phoneticPr fontId="8" type="noConversion"/>
  </si>
  <si>
    <t>수도광열비</t>
    <phoneticPr fontId="8" type="noConversion"/>
  </si>
  <si>
    <t>(2) 일반운용비용</t>
  </si>
  <si>
    <t>보험료</t>
    <phoneticPr fontId="8" type="noConversion"/>
  </si>
  <si>
    <t xml:space="preserve"> III. 영업이익</t>
  </si>
  <si>
    <t xml:space="preserve"> IV. 영업외수익</t>
  </si>
  <si>
    <t xml:space="preserve"> V. 영업외비용</t>
  </si>
  <si>
    <t>이자비용</t>
    <phoneticPr fontId="8" type="noConversion"/>
  </si>
  <si>
    <t xml:space="preserve"> VI. 당기순이익</t>
  </si>
  <si>
    <t>CAPEX</t>
  </si>
  <si>
    <t>실적</t>
    <phoneticPr fontId="16" type="noConversion"/>
  </si>
  <si>
    <t>비고</t>
    <phoneticPr fontId="16" type="noConversion"/>
  </si>
  <si>
    <t>AMC수수료</t>
    <phoneticPr fontId="8" type="noConversion"/>
  </si>
  <si>
    <t>기타일반관리비</t>
    <phoneticPr fontId="8" type="noConversion"/>
  </si>
  <si>
    <t>보험료</t>
  </si>
  <si>
    <t>PM수수료</t>
  </si>
  <si>
    <t>FM수수료</t>
    <phoneticPr fontId="8" type="noConversion"/>
  </si>
  <si>
    <t>출력시 숨기기</t>
    <phoneticPr fontId="8" type="noConversion"/>
  </si>
  <si>
    <t>수도광열비</t>
  </si>
  <si>
    <t>수선유지비</t>
  </si>
  <si>
    <t>(장기수선충당금)</t>
    <phoneticPr fontId="8" type="noConversion"/>
  </si>
  <si>
    <t>제세공과금</t>
    <phoneticPr fontId="8" type="noConversion"/>
  </si>
  <si>
    <t>재산세</t>
    <phoneticPr fontId="8" type="noConversion"/>
  </si>
  <si>
    <t>이자수익</t>
  </si>
  <si>
    <t>잡이익</t>
  </si>
  <si>
    <t>잡손실</t>
  </si>
  <si>
    <t>2017.12</t>
  </si>
  <si>
    <t>2017.11</t>
  </si>
  <si>
    <t>계획</t>
  </si>
  <si>
    <t>실적</t>
  </si>
  <si>
    <t>임대료수익</t>
  </si>
  <si>
    <t>관리비수익</t>
  </si>
  <si>
    <t>기타수익</t>
  </si>
  <si>
    <t>2019.08</t>
    <phoneticPr fontId="8" type="noConversion"/>
  </si>
  <si>
    <t>2019.04</t>
    <phoneticPr fontId="8" type="noConversion"/>
  </si>
  <si>
    <t>2018.06</t>
    <phoneticPr fontId="8" type="noConversion"/>
  </si>
  <si>
    <t>2018.02</t>
    <phoneticPr fontId="8" type="noConversion"/>
  </si>
  <si>
    <t>지급수수료,기타비용</t>
    <phoneticPr fontId="8" type="noConversion"/>
  </si>
  <si>
    <t>간주임대료 부가세</t>
    <phoneticPr fontId="8" type="noConversion"/>
  </si>
  <si>
    <t>관리비고지서(영업배상보험료)+손익계산서 상 건물보험료</t>
    <phoneticPr fontId="8" type="noConversion"/>
  </si>
  <si>
    <t>1월</t>
    <phoneticPr fontId="8" type="noConversion"/>
  </si>
  <si>
    <t>5월</t>
    <phoneticPr fontId="31" type="noConversion"/>
  </si>
  <si>
    <t>3월</t>
    <phoneticPr fontId="31" type="noConversion"/>
  </si>
  <si>
    <t>8월</t>
  </si>
  <si>
    <t>9월</t>
  </si>
  <si>
    <t>11월</t>
  </si>
  <si>
    <t>12월</t>
  </si>
  <si>
    <t>2월</t>
  </si>
  <si>
    <t>3월</t>
  </si>
  <si>
    <t>일반관리비</t>
    <phoneticPr fontId="31" type="noConversion"/>
  </si>
  <si>
    <t>제세공과금</t>
    <phoneticPr fontId="31" type="noConversion"/>
  </si>
  <si>
    <t>기타</t>
    <phoneticPr fontId="20" type="noConversion"/>
  </si>
  <si>
    <t>Expense</t>
    <phoneticPr fontId="20" type="noConversion"/>
  </si>
  <si>
    <t>미화</t>
    <phoneticPr fontId="20" type="noConversion"/>
  </si>
  <si>
    <t>관리단 대표위원회</t>
    <phoneticPr fontId="20" type="noConversion"/>
  </si>
  <si>
    <t>사무동(5명), 판매동(13명)</t>
    <phoneticPr fontId="8" type="noConversion"/>
  </si>
  <si>
    <t>신도림테크노마트</t>
    <phoneticPr fontId="20" type="noConversion"/>
  </si>
  <si>
    <t>운영파트장</t>
    <phoneticPr fontId="8" type="noConversion"/>
  </si>
  <si>
    <t>운영팀</t>
    <phoneticPr fontId="8" type="noConversion"/>
  </si>
  <si>
    <t>Sub-Total</t>
    <phoneticPr fontId="20" type="noConversion"/>
  </si>
  <si>
    <t>건축팀</t>
    <phoneticPr fontId="20" type="noConversion"/>
  </si>
  <si>
    <t>기계팀</t>
    <phoneticPr fontId="20" type="noConversion"/>
  </si>
  <si>
    <t>전기팀</t>
    <phoneticPr fontId="20" type="noConversion"/>
  </si>
  <si>
    <t>방재팀</t>
    <phoneticPr fontId="20" type="noConversion"/>
  </si>
  <si>
    <t>주차</t>
    <phoneticPr fontId="20" type="noConversion"/>
  </si>
  <si>
    <t>선임팀장</t>
    <phoneticPr fontId="20" type="noConversion"/>
  </si>
  <si>
    <t>팀장</t>
    <phoneticPr fontId="20" type="noConversion"/>
  </si>
  <si>
    <t>팀장</t>
    <phoneticPr fontId="8" type="noConversion"/>
  </si>
  <si>
    <t>소장</t>
    <phoneticPr fontId="20" type="noConversion"/>
  </si>
  <si>
    <t>기사</t>
    <phoneticPr fontId="8" type="noConversion"/>
  </si>
  <si>
    <t>주차관리</t>
    <phoneticPr fontId="8" type="noConversion"/>
  </si>
  <si>
    <t>*재무현황-수입비용현황</t>
    <phoneticPr fontId="31" type="noConversion"/>
  </si>
  <si>
    <t>비고</t>
    <phoneticPr fontId="31" type="noConversion"/>
  </si>
  <si>
    <t>예산</t>
    <phoneticPr fontId="16" type="noConversion"/>
  </si>
  <si>
    <t>차이</t>
    <phoneticPr fontId="16" type="noConversion"/>
  </si>
  <si>
    <t>부동산
관리비용</t>
    <phoneticPr fontId="31" type="noConversion"/>
  </si>
  <si>
    <t>PM 수수료</t>
    <phoneticPr fontId="31" type="noConversion"/>
  </si>
  <si>
    <t>FM 수수료</t>
    <phoneticPr fontId="31" type="noConversion"/>
  </si>
  <si>
    <t>FM 수수료 -2</t>
    <phoneticPr fontId="31" type="noConversion"/>
  </si>
  <si>
    <t>(장기수선충당금)</t>
    <phoneticPr fontId="31" type="noConversion"/>
  </si>
  <si>
    <t>교통유발부담금</t>
    <phoneticPr fontId="31" type="noConversion"/>
  </si>
  <si>
    <t>재산세</t>
    <phoneticPr fontId="31" type="noConversion"/>
  </si>
  <si>
    <t>합 계</t>
    <phoneticPr fontId="31" type="noConversion"/>
  </si>
  <si>
    <t>※ 상기 예산 및 실적은 당월 지급기준으로서 사업계획 금액과는 차이가 있음</t>
    <phoneticPr fontId="16" type="noConversion"/>
  </si>
  <si>
    <t>[증감분석]</t>
    <phoneticPr fontId="16" type="noConversion"/>
  </si>
  <si>
    <t>증감원인</t>
    <phoneticPr fontId="16" type="noConversion"/>
  </si>
  <si>
    <t>(단위:천원)</t>
    <phoneticPr fontId="31" type="noConversion"/>
  </si>
  <si>
    <t>납부처</t>
    <phoneticPr fontId="31" type="noConversion"/>
  </si>
  <si>
    <t>항목</t>
    <phoneticPr fontId="31" type="noConversion"/>
  </si>
  <si>
    <t>강남구청</t>
    <phoneticPr fontId="31" type="noConversion"/>
  </si>
  <si>
    <t>등록면허세</t>
  </si>
  <si>
    <t>구로구청</t>
    <phoneticPr fontId="31" type="noConversion"/>
  </si>
  <si>
    <t>건물분재산세</t>
  </si>
  <si>
    <t>토지분재산세</t>
  </si>
  <si>
    <t>교통유발부담금</t>
  </si>
  <si>
    <t>합계</t>
    <phoneticPr fontId="31" type="noConversion"/>
  </si>
  <si>
    <t>♦ 부동산 관리비용</t>
    <phoneticPr fontId="16" type="noConversion"/>
  </si>
  <si>
    <t>구분</t>
    <phoneticPr fontId="31" type="noConversion"/>
  </si>
  <si>
    <t xml:space="preserve"> PM</t>
    <phoneticPr fontId="8" type="noConversion"/>
  </si>
  <si>
    <t>미화/보안</t>
    <phoneticPr fontId="31" type="noConversion"/>
  </si>
  <si>
    <t>급여</t>
  </si>
  <si>
    <t>4대보험</t>
  </si>
  <si>
    <t>복리후생비</t>
  </si>
  <si>
    <t>통신비</t>
  </si>
  <si>
    <t>행정소모품</t>
  </si>
  <si>
    <t>자재 소모품비</t>
    <phoneticPr fontId="31" type="noConversion"/>
  </si>
  <si>
    <t>PM사무실 보안 포함</t>
    <phoneticPr fontId="31" type="noConversion"/>
  </si>
  <si>
    <t>세금과공과</t>
    <phoneticPr fontId="31" type="noConversion"/>
  </si>
  <si>
    <t>지급수수료</t>
    <phoneticPr fontId="31" type="noConversion"/>
  </si>
  <si>
    <t>관리단/관리사 임차료</t>
  </si>
  <si>
    <t>관리수수료</t>
  </si>
  <si>
    <t>저녹스버너 정부지원금 지원</t>
    <phoneticPr fontId="31" type="noConversion"/>
  </si>
  <si>
    <t>소 계</t>
    <phoneticPr fontId="31" type="noConversion"/>
  </si>
  <si>
    <t>수선유지비</t>
    <phoneticPr fontId="31" type="noConversion"/>
  </si>
  <si>
    <t>외주용역비</t>
    <phoneticPr fontId="31" type="noConversion"/>
  </si>
  <si>
    <t>시설관리(정액)</t>
    <phoneticPr fontId="20" type="noConversion"/>
  </si>
  <si>
    <t>보안/안내관리(정액)</t>
    <phoneticPr fontId="20" type="noConversion"/>
  </si>
  <si>
    <t>미화관리(정액)</t>
    <phoneticPr fontId="20" type="noConversion"/>
  </si>
  <si>
    <t>주차관리(정액)</t>
    <phoneticPr fontId="20" type="noConversion"/>
  </si>
  <si>
    <t>조경관리(정액)</t>
    <phoneticPr fontId="20" type="noConversion"/>
  </si>
  <si>
    <t>재활용수거(정액)</t>
    <phoneticPr fontId="20" type="noConversion"/>
  </si>
  <si>
    <t>건물소독 및 방향제(정액)</t>
    <phoneticPr fontId="20" type="noConversion"/>
  </si>
  <si>
    <t>BMS유지보수(정액)</t>
    <phoneticPr fontId="20" type="noConversion"/>
  </si>
  <si>
    <t>대형폐기물</t>
    <phoneticPr fontId="31" type="noConversion"/>
  </si>
  <si>
    <t>종량제봉투 및 일반폐기물 처리비</t>
    <phoneticPr fontId="20" type="noConversion"/>
  </si>
  <si>
    <t>광고홍보비</t>
    <phoneticPr fontId="31" type="noConversion"/>
  </si>
  <si>
    <t>장기수선충당금</t>
    <phoneticPr fontId="31" type="noConversion"/>
  </si>
  <si>
    <t>수도광열비</t>
    <phoneticPr fontId="31" type="noConversion"/>
  </si>
  <si>
    <t>전기)기본료</t>
    <phoneticPr fontId="31" type="noConversion"/>
  </si>
  <si>
    <t>전기)전체공용</t>
    <phoneticPr fontId="31" type="noConversion"/>
  </si>
  <si>
    <t>전기)층공용</t>
    <phoneticPr fontId="31" type="noConversion"/>
  </si>
  <si>
    <t>전기)전용</t>
    <phoneticPr fontId="31" type="noConversion"/>
  </si>
  <si>
    <t>전력기금</t>
    <phoneticPr fontId="31" type="noConversion"/>
  </si>
  <si>
    <t>가스)공용</t>
    <phoneticPr fontId="31" type="noConversion"/>
  </si>
  <si>
    <t>급탕)전용</t>
    <phoneticPr fontId="31" type="noConversion"/>
  </si>
  <si>
    <t>수도)공용</t>
    <phoneticPr fontId="31" type="noConversion"/>
  </si>
  <si>
    <t>수도)전용</t>
  </si>
  <si>
    <t>냉(난)방비</t>
    <phoneticPr fontId="31" type="noConversion"/>
  </si>
  <si>
    <t>보험료</t>
    <phoneticPr fontId="31" type="noConversion"/>
  </si>
  <si>
    <t>영업배상보험</t>
    <phoneticPr fontId="31" type="noConversion"/>
  </si>
  <si>
    <t>승강기사고책임보험</t>
    <phoneticPr fontId="31" type="noConversion"/>
  </si>
  <si>
    <t>가스사고배상책임보험</t>
    <phoneticPr fontId="31" type="noConversion"/>
  </si>
  <si>
    <t>공용관리비 합계</t>
    <phoneticPr fontId="31" type="noConversion"/>
  </si>
  <si>
    <t>공용지분배분</t>
    <phoneticPr fontId="31" type="noConversion"/>
  </si>
  <si>
    <t>5층 공용수익 배분</t>
    <phoneticPr fontId="31" type="noConversion"/>
  </si>
  <si>
    <t>7층 공용수익 배분</t>
    <phoneticPr fontId="31" type="noConversion"/>
  </si>
  <si>
    <t>신규임대수수료</t>
    <phoneticPr fontId="31" type="noConversion"/>
  </si>
  <si>
    <t>신규임대 및 재계약 수수료</t>
    <phoneticPr fontId="31" type="noConversion"/>
  </si>
  <si>
    <t>기타유지관리비</t>
    <phoneticPr fontId="31" type="noConversion"/>
  </si>
  <si>
    <t>-</t>
    <phoneticPr fontId="31" type="noConversion"/>
  </si>
  <si>
    <t>총  계</t>
    <phoneticPr fontId="31" type="noConversion"/>
  </si>
  <si>
    <t>4월</t>
  </si>
  <si>
    <t>5월</t>
  </si>
  <si>
    <t>6월</t>
  </si>
  <si>
    <t>7월</t>
  </si>
  <si>
    <t>10월</t>
  </si>
  <si>
    <t>계</t>
    <phoneticPr fontId="16" type="noConversion"/>
  </si>
  <si>
    <t>일평균</t>
  </si>
  <si>
    <t>평당</t>
  </si>
  <si>
    <t>±증감</t>
  </si>
  <si>
    <t>♦ 전력 사용 요금</t>
    <phoneticPr fontId="16" type="noConversion"/>
  </si>
  <si>
    <t>[단위 : 원, VAT별도]</t>
    <phoneticPr fontId="16" type="noConversion"/>
  </si>
  <si>
    <t>구분</t>
  </si>
  <si>
    <t>1월</t>
  </si>
  <si>
    <t>계</t>
  </si>
  <si>
    <t>월평균</t>
  </si>
  <si>
    <t>최고</t>
  </si>
  <si>
    <t>최저</t>
  </si>
  <si>
    <t>♦ 도시가스 사용 요금</t>
    <phoneticPr fontId="16" type="noConversion"/>
  </si>
  <si>
    <t>♦ 보수공사 및 법정점검 내역</t>
    <phoneticPr fontId="16" type="noConversion"/>
  </si>
  <si>
    <t>내용</t>
    <phoneticPr fontId="16" type="noConversion"/>
  </si>
  <si>
    <t>공사명</t>
    <phoneticPr fontId="16" type="noConversion"/>
  </si>
  <si>
    <t>공사금액</t>
    <phoneticPr fontId="16" type="noConversion"/>
  </si>
  <si>
    <t>VAT 별도 / 원</t>
    <phoneticPr fontId="8" type="noConversion"/>
  </si>
  <si>
    <t>공사기간</t>
    <phoneticPr fontId="16" type="noConversion"/>
  </si>
  <si>
    <t>현장 사진</t>
    <phoneticPr fontId="16" type="noConversion"/>
  </si>
  <si>
    <t>조명/전기</t>
    <phoneticPr fontId="20" type="noConversion"/>
  </si>
  <si>
    <t>E/V</t>
    <phoneticPr fontId="20" type="noConversion"/>
  </si>
  <si>
    <t>7F</t>
    <phoneticPr fontId="8" type="noConversion"/>
  </si>
  <si>
    <t>신한은행</t>
  </si>
  <si>
    <t>교보생명</t>
  </si>
  <si>
    <t>교보생명 보증금 질권설정계좌</t>
  </si>
  <si>
    <t>DB손해보험</t>
  </si>
  <si>
    <t>우리카드</t>
  </si>
  <si>
    <t>우리카드 보증금 질권설정계좌(14F)</t>
  </si>
  <si>
    <t>KT</t>
  </si>
  <si>
    <t>KT 보증금 질권설정계좌(9F)</t>
  </si>
  <si>
    <t>200-408-040100</t>
  </si>
  <si>
    <t>항   목</t>
  </si>
  <si>
    <t>주기</t>
  </si>
  <si>
    <t>시기</t>
  </si>
  <si>
    <t>실행</t>
  </si>
  <si>
    <t>Ⅰ.유지관리</t>
  </si>
  <si>
    <t>1.  공조기 관리</t>
  </si>
  <si>
    <t>월별</t>
  </si>
  <si>
    <t>매월</t>
  </si>
  <si>
    <t>ㅇ</t>
  </si>
  <si>
    <t>년2회</t>
  </si>
  <si>
    <t>3.  물탱크청소</t>
  </si>
  <si>
    <t>4.  정화조청소</t>
  </si>
  <si>
    <t>5.  중수처리 약품</t>
  </si>
  <si>
    <t>년1회</t>
  </si>
  <si>
    <t>7.  보일러 세관</t>
  </si>
  <si>
    <t>8.  방역(소독)</t>
  </si>
  <si>
    <t>9.  엘리베이터 유지관리(24시간 모니터링 시스템)</t>
  </si>
  <si>
    <t>년6회</t>
  </si>
  <si>
    <t>5월~10월</t>
  </si>
  <si>
    <t>Ⅲ. 법정검사</t>
  </si>
  <si>
    <t>5년1회</t>
  </si>
  <si>
    <t>2년1회</t>
  </si>
  <si>
    <t>(단위: 원, 귀속월 기준)</t>
    <phoneticPr fontId="31" type="noConversion"/>
  </si>
  <si>
    <t>#</t>
  </si>
  <si>
    <t>날짜</t>
    <phoneticPr fontId="31" type="noConversion"/>
  </si>
  <si>
    <t>내역</t>
    <phoneticPr fontId="31" type="noConversion"/>
  </si>
  <si>
    <t>사무동</t>
    <phoneticPr fontId="31" type="noConversion"/>
  </si>
  <si>
    <t>판매동</t>
    <phoneticPr fontId="31" type="noConversion"/>
  </si>
  <si>
    <t>A-KOF사모부동산투자신탁 이월 잔액</t>
    <phoneticPr fontId="8" type="noConversion"/>
  </si>
  <si>
    <t>장기수선충당금 적립액</t>
    <phoneticPr fontId="8" type="noConversion"/>
  </si>
  <si>
    <t>장기수선충당금 적립액</t>
  </si>
  <si>
    <t>장기수선충당금 적립액</t>
    <phoneticPr fontId="31" type="noConversion"/>
  </si>
  <si>
    <t>관리단 의결사항</t>
    <phoneticPr fontId="31" type="noConversion"/>
  </si>
  <si>
    <t>(단위: 원, VAT포함)</t>
    <phoneticPr fontId="31" type="noConversion"/>
  </si>
  <si>
    <t>날 짜</t>
    <phoneticPr fontId="8" type="noConversion"/>
  </si>
  <si>
    <t>내 역</t>
    <phoneticPr fontId="8" type="noConversion"/>
  </si>
  <si>
    <t>2017년 11월</t>
    <phoneticPr fontId="8" type="noConversion"/>
  </si>
  <si>
    <t>2017년 12월</t>
    <phoneticPr fontId="8" type="noConversion"/>
  </si>
  <si>
    <t>무선통신비 음영지역해소공사비</t>
    <phoneticPr fontId="8" type="noConversion"/>
  </si>
  <si>
    <t>고층부 판형열교환기 교체공사</t>
    <phoneticPr fontId="8" type="noConversion"/>
  </si>
  <si>
    <t>2018년 04월</t>
    <phoneticPr fontId="8" type="noConversion"/>
  </si>
  <si>
    <t>2018년 07월</t>
    <phoneticPr fontId="8" type="noConversion"/>
  </si>
  <si>
    <t>LED조명교체 공사비 (전체)</t>
    <phoneticPr fontId="8" type="noConversion"/>
  </si>
  <si>
    <t>보일러 연도케이싱 교체 공사 (2차 지급)</t>
    <phoneticPr fontId="31" type="noConversion"/>
  </si>
  <si>
    <t>2019년 10월</t>
    <phoneticPr fontId="8" type="noConversion"/>
  </si>
  <si>
    <t>보일러 연도케이싱 교체 공사 (3차 지급)</t>
    <phoneticPr fontId="31" type="noConversion"/>
  </si>
  <si>
    <t>2021년 03월</t>
    <phoneticPr fontId="31" type="noConversion"/>
  </si>
  <si>
    <t>STM 전력제어시스템 점검 및 보수</t>
    <phoneticPr fontId="31" type="noConversion"/>
  </si>
  <si>
    <t>X</t>
  </si>
  <si>
    <t>위생</t>
  </si>
  <si>
    <t>위생</t>
    <phoneticPr fontId="20" type="noConversion"/>
  </si>
  <si>
    <t>방재</t>
  </si>
  <si>
    <t>방재</t>
    <phoneticPr fontId="20" type="noConversion"/>
  </si>
  <si>
    <t>건축</t>
  </si>
  <si>
    <t>건축</t>
    <phoneticPr fontId="6" type="noConversion"/>
  </si>
  <si>
    <t>냉난방/공조</t>
  </si>
  <si>
    <t>조명/전기</t>
  </si>
  <si>
    <t>미화</t>
  </si>
  <si>
    <t>주차</t>
  </si>
  <si>
    <t>E/V</t>
  </si>
  <si>
    <t>기타</t>
  </si>
  <si>
    <t>(기존 공실)</t>
    <phoneticPr fontId="6" type="noConversion"/>
  </si>
  <si>
    <t>증감율</t>
    <phoneticPr fontId="6" type="noConversion"/>
  </si>
  <si>
    <t>관련근거</t>
    <phoneticPr fontId="16" type="noConversion"/>
  </si>
  <si>
    <t>당기</t>
  </si>
  <si>
    <t>공실</t>
    <phoneticPr fontId="6" type="noConversion"/>
  </si>
  <si>
    <t>엘비휴넷(본사)</t>
  </si>
  <si>
    <t>㈜엘지유플러스</t>
  </si>
  <si>
    <t>㈜케이비손해보험</t>
  </si>
  <si>
    <t>신한금융플러스</t>
  </si>
  <si>
    <t>롯데손해보험㈜</t>
  </si>
  <si>
    <t>현대해상화재보험㈜</t>
  </si>
  <si>
    <t>㈜카리스</t>
  </si>
  <si>
    <t>한국쯔바키모토</t>
  </si>
  <si>
    <t>한화라이프랩</t>
  </si>
  <si>
    <t>사용량</t>
    <phoneticPr fontId="6" type="noConversion"/>
  </si>
  <si>
    <t>LM수수료</t>
    <phoneticPr fontId="6" type="noConversion"/>
  </si>
  <si>
    <t>비고(N/A)</t>
    <phoneticPr fontId="20" type="noConversion"/>
  </si>
  <si>
    <t>-N/A</t>
    <phoneticPr fontId="6" type="noConversion"/>
  </si>
  <si>
    <t>CAPEX</t>
    <phoneticPr fontId="20" type="noConversion"/>
  </si>
  <si>
    <t>재산종합위험</t>
    <phoneticPr fontId="6" type="noConversion"/>
  </si>
  <si>
    <t>기계위험</t>
    <phoneticPr fontId="6" type="noConversion"/>
  </si>
  <si>
    <t>기업휴지위험(기계)</t>
    <phoneticPr fontId="6" type="noConversion"/>
  </si>
  <si>
    <t>기업휴지위험(재산종합)</t>
    <phoneticPr fontId="6" type="noConversion"/>
  </si>
  <si>
    <t>일반배상</t>
    <phoneticPr fontId="6" type="noConversion"/>
  </si>
  <si>
    <t>보험료</t>
    <phoneticPr fontId="6" type="noConversion"/>
  </si>
  <si>
    <t>수리 전 / 후</t>
    <phoneticPr fontId="6" type="noConversion"/>
  </si>
  <si>
    <t>2023.03</t>
    <phoneticPr fontId="6" type="noConversion"/>
  </si>
  <si>
    <t>신규 임차 마케팅 중</t>
    <phoneticPr fontId="6" type="noConversion"/>
  </si>
  <si>
    <t>자동재예치</t>
  </si>
  <si>
    <t>삼성카드고객서비스</t>
  </si>
  <si>
    <t>220-637-254482</t>
  </si>
  <si>
    <t>증액</t>
  </si>
  <si>
    <t>3. 기타 내역</t>
  </si>
  <si>
    <t>종류</t>
  </si>
  <si>
    <t>업체명</t>
  </si>
  <si>
    <t>금액</t>
  </si>
  <si>
    <t>합  계</t>
  </si>
  <si>
    <t>33F</t>
    <phoneticPr fontId="6" type="noConversion"/>
  </si>
  <si>
    <t>2023.08</t>
    <phoneticPr fontId="6" type="noConversion"/>
  </si>
  <si>
    <t>2023.09</t>
    <phoneticPr fontId="6" type="noConversion"/>
  </si>
  <si>
    <t>VAT</t>
    <phoneticPr fontId="20" type="noConversion"/>
  </si>
  <si>
    <t>8F-5</t>
    <phoneticPr fontId="6" type="noConversion"/>
  </si>
  <si>
    <t>2023.10</t>
    <phoneticPr fontId="6" type="noConversion"/>
  </si>
  <si>
    <t>◀날짜 확인</t>
    <phoneticPr fontId="6" type="noConversion"/>
  </si>
  <si>
    <t>관리비 배분내역서 - 인건비 외, 통신비, 행정소모품비</t>
    <phoneticPr fontId="31" type="noConversion"/>
  </si>
  <si>
    <t>2023.11</t>
    <phoneticPr fontId="6" type="noConversion"/>
  </si>
  <si>
    <t>2023.10</t>
  </si>
  <si>
    <t>9월,12월납부</t>
    <phoneticPr fontId="31" type="noConversion"/>
  </si>
  <si>
    <t>전산실 용도 분으로 오피스화 검토중</t>
    <phoneticPr fontId="6" type="noConversion"/>
  </si>
  <si>
    <t>세미콜론 문래</t>
    <phoneticPr fontId="8" type="noConversion"/>
  </si>
  <si>
    <t>2023.11</t>
  </si>
  <si>
    <t>2023.12</t>
    <phoneticPr fontId="6" type="noConversion"/>
  </si>
  <si>
    <t>2024.01</t>
    <phoneticPr fontId="6" type="noConversion"/>
  </si>
  <si>
    <t>프리필터 청소 및 교체</t>
  </si>
  <si>
    <t>2.  F.C.U 관리(프리필터 청소)</t>
  </si>
  <si>
    <t>4,11월</t>
  </si>
  <si>
    <t>5,11월</t>
  </si>
  <si>
    <t>2,4,6,8,10,12월</t>
  </si>
  <si>
    <t>6.  냉동기 세관</t>
  </si>
  <si>
    <t>월1회</t>
  </si>
  <si>
    <t>10. 쿨링타워 유지관리(약품포함)</t>
  </si>
  <si>
    <t>11. 조경관리</t>
  </si>
  <si>
    <t>12. 정화조 약품관리</t>
  </si>
  <si>
    <t>13. BAS 유지관리</t>
  </si>
  <si>
    <t>14. 기계식주차설비 점검</t>
  </si>
  <si>
    <t>분기별</t>
  </si>
  <si>
    <t>1/4/7/10월</t>
  </si>
  <si>
    <t>15. 변전실 및 주요기능실 배터리 관리</t>
  </si>
  <si>
    <t>2021년 교체</t>
  </si>
  <si>
    <t>16. UPS 배터리 관리</t>
  </si>
  <si>
    <t>17. 에스컬레이터 유지관리(ESC', M/W)</t>
  </si>
  <si>
    <t>18. 폐램프 처리</t>
  </si>
  <si>
    <t>1. 승강설비 정기검사(ELEV', ESC', M/W)</t>
  </si>
  <si>
    <t>일부 정밀안전검사</t>
  </si>
  <si>
    <t>2. 건축물 상,하반기 정기점검</t>
  </si>
  <si>
    <t>6,12월</t>
  </si>
  <si>
    <t>3. 건축물 관리점검</t>
  </si>
  <si>
    <t>4. 소방시설 종합점검</t>
  </si>
  <si>
    <t>5. 실내공기질 측정 (주차장 실내공기질 측정)</t>
  </si>
  <si>
    <t>6. 대기배출시설 자가측정</t>
  </si>
  <si>
    <t>7. 도시가스 정기검사(보일러, 정압기)</t>
  </si>
  <si>
    <t>8. 냉동기 정기검사</t>
  </si>
  <si>
    <t>9. 보일러 정기검사</t>
  </si>
  <si>
    <t>10. 기계설비 성능점검</t>
  </si>
  <si>
    <t>냉/난방 가동시</t>
  </si>
  <si>
    <t>11. 에너지 진단</t>
  </si>
  <si>
    <t>12. 전기설비 정기검사</t>
  </si>
  <si>
    <t>13. 기계식 주차설비 정기검사 (정밀안전)</t>
  </si>
  <si>
    <t>2023.12</t>
  </si>
  <si>
    <t>2024.01</t>
  </si>
  <si>
    <t>임대료수익</t>
    <phoneticPr fontId="8" type="noConversion"/>
  </si>
  <si>
    <t xml:space="preserve"> II. 영업비용</t>
    <phoneticPr fontId="8" type="noConversion"/>
  </si>
  <si>
    <t>* 관리비 배분 내역서 참조하여 작성</t>
    <phoneticPr fontId="6" type="noConversion"/>
  </si>
  <si>
    <t>KB자산운용㈜</t>
    <phoneticPr fontId="8" type="noConversion"/>
  </si>
  <si>
    <t>자산관리사(AM) :</t>
    <phoneticPr fontId="8" type="noConversion"/>
  </si>
  <si>
    <t xml:space="preserve">부동산관리사(PM, FM) : </t>
    <phoneticPr fontId="8" type="noConversion"/>
  </si>
  <si>
    <t>KB자산운용</t>
    <phoneticPr fontId="8" type="noConversion"/>
  </si>
  <si>
    <t>부동산관리회사(PM,FM)</t>
    <phoneticPr fontId="16" type="noConversion"/>
  </si>
  <si>
    <t>자산관리회사(AM)</t>
    <phoneticPr fontId="8" type="noConversion"/>
  </si>
  <si>
    <t>3. 재무현황</t>
    <phoneticPr fontId="16" type="noConversion"/>
  </si>
  <si>
    <t>4. 시설관리현황</t>
    <phoneticPr fontId="16" type="noConversion"/>
  </si>
  <si>
    <t>40F / B7F</t>
    <phoneticPr fontId="8" type="noConversion"/>
  </si>
  <si>
    <t>2007년 12월</t>
    <phoneticPr fontId="8" type="noConversion"/>
  </si>
  <si>
    <t>총 2,345대 (사무동 지분 657대)</t>
    <phoneticPr fontId="8" type="noConversion"/>
  </si>
  <si>
    <t>7,627㎡ (2,307평)</t>
    <phoneticPr fontId="8" type="noConversion"/>
  </si>
  <si>
    <t>92,172.56㎡ (27,882.22평)</t>
    <phoneticPr fontId="8" type="noConversion"/>
  </si>
  <si>
    <t>매매금액</t>
  </si>
  <si>
    <t>부대비용</t>
  </si>
  <si>
    <t>평가손익</t>
  </si>
  <si>
    <t>구분</t>
    <phoneticPr fontId="6" type="noConversion"/>
  </si>
  <si>
    <t>당월 감가상각비</t>
    <phoneticPr fontId="16" type="noConversion"/>
  </si>
  <si>
    <t>당월말 장부가액</t>
    <phoneticPr fontId="16" type="noConversion"/>
  </si>
  <si>
    <t>당월말 감가상각누계액</t>
    <phoneticPr fontId="16" type="noConversion"/>
  </si>
  <si>
    <t xml:space="preserve">  ♦  주요사항</t>
    <phoneticPr fontId="20" type="noConversion"/>
  </si>
  <si>
    <t xml:space="preserve">  ♦  주요사항</t>
    <phoneticPr fontId="20" type="noConversion"/>
  </si>
  <si>
    <t xml:space="preserve">  ♦  부동산 장부가액</t>
    <phoneticPr fontId="20" type="noConversion"/>
  </si>
  <si>
    <t xml:space="preserve">  ♦  부동산 취득가액</t>
    <phoneticPr fontId="20" type="noConversion"/>
  </si>
  <si>
    <t>부동산보관회사</t>
    <phoneticPr fontId="16" type="noConversion"/>
  </si>
  <si>
    <t>사무수탁회사</t>
    <phoneticPr fontId="6" type="noConversion"/>
  </si>
  <si>
    <t>KB부동산신탁</t>
  </si>
  <si>
    <t>현금보관회사</t>
    <phoneticPr fontId="6" type="noConversion"/>
  </si>
  <si>
    <t>KB국민은행</t>
    <phoneticPr fontId="8" type="noConversion"/>
  </si>
  <si>
    <t>존속기간</t>
    <phoneticPr fontId="8" type="noConversion"/>
  </si>
  <si>
    <t>영속형</t>
    <phoneticPr fontId="8" type="noConversion"/>
  </si>
  <si>
    <t>(단위 : 원)</t>
  </si>
  <si>
    <t>보상한도액</t>
    <phoneticPr fontId="6" type="noConversion"/>
  </si>
  <si>
    <t>보험기간</t>
    <phoneticPr fontId="8" type="noConversion"/>
  </si>
  <si>
    <t>2023.11.09 ~ 2024.11.08</t>
    <phoneticPr fontId="8" type="noConversion"/>
  </si>
  <si>
    <t>2024.01.01 ~ 2025.01.01</t>
    <phoneticPr fontId="8" type="noConversion"/>
  </si>
  <si>
    <t>2023.09.27 ~ 2024.09.27</t>
    <phoneticPr fontId="8" type="noConversion"/>
  </si>
  <si>
    <t>세부내역 참조</t>
    <phoneticPr fontId="8" type="noConversion"/>
  </si>
  <si>
    <t>합계</t>
    <phoneticPr fontId="6" type="noConversion"/>
  </si>
  <si>
    <t>재산종합보험(패키지)</t>
    <phoneticPr fontId="8" type="noConversion"/>
  </si>
  <si>
    <t>3-1</t>
    <phoneticPr fontId="6" type="noConversion"/>
  </si>
  <si>
    <t>3-2</t>
    <phoneticPr fontId="6" type="noConversion"/>
  </si>
  <si>
    <t>4</t>
    <phoneticPr fontId="6" type="noConversion"/>
  </si>
  <si>
    <t>도급업자배상(대물)</t>
    <phoneticPr fontId="6" type="noConversion"/>
  </si>
  <si>
    <t>도급업자배상(대인)</t>
    <phoneticPr fontId="6" type="noConversion"/>
  </si>
  <si>
    <t>경비업자배상(대물)</t>
    <phoneticPr fontId="6" type="noConversion"/>
  </si>
  <si>
    <t>경비업자배상(대인)</t>
    <phoneticPr fontId="6" type="noConversion"/>
  </si>
  <si>
    <t>보험사</t>
    <phoneticPr fontId="8" type="noConversion"/>
  </si>
  <si>
    <t>MG손해보험</t>
    <phoneticPr fontId="6" type="noConversion"/>
  </si>
  <si>
    <t>1) Rent Roll</t>
    <phoneticPr fontId="16" type="noConversion"/>
  </si>
  <si>
    <t>2) Stacking Plan</t>
    <phoneticPr fontId="16" type="noConversion"/>
  </si>
  <si>
    <t>1-1) 자산개요</t>
    <phoneticPr fontId="16" type="noConversion"/>
  </si>
  <si>
    <t>1-3) 보험가입현황</t>
    <phoneticPr fontId="16" type="noConversion"/>
  </si>
  <si>
    <t>1-2) 리츠개요</t>
    <phoneticPr fontId="16" type="noConversion"/>
  </si>
  <si>
    <t xml:space="preserve">  ♦ 임대기준가</t>
    <phoneticPr fontId="20" type="noConversion"/>
  </si>
  <si>
    <t>임차인</t>
    <phoneticPr fontId="20" type="noConversion"/>
  </si>
  <si>
    <t>관리비</t>
    <phoneticPr fontId="20" type="noConversion"/>
  </si>
  <si>
    <t>공통</t>
    <phoneticPr fontId="20" type="noConversion"/>
  </si>
  <si>
    <t>기준층</t>
    <phoneticPr fontId="31" type="noConversion"/>
  </si>
  <si>
    <t>2024.01.01일부터 기준임대가 변경
R/F : 년 2개
F/O : 년 1개</t>
    <phoneticPr fontId="20" type="noConversion"/>
  </si>
  <si>
    <t xml:space="preserve">  ♦ 신규임대차계약</t>
    <phoneticPr fontId="20" type="noConversion"/>
  </si>
  <si>
    <t xml:space="preserve">  ♦ 임대차재계약</t>
    <phoneticPr fontId="20" type="noConversion"/>
  </si>
  <si>
    <t>구분</t>
    <phoneticPr fontId="20" type="noConversion"/>
  </si>
  <si>
    <t>변경 前</t>
    <phoneticPr fontId="20" type="noConversion"/>
  </si>
  <si>
    <t>변경 後</t>
    <phoneticPr fontId="20" type="noConversion"/>
  </si>
  <si>
    <t>총액</t>
    <phoneticPr fontId="20" type="noConversion"/>
  </si>
  <si>
    <t>평당</t>
    <phoneticPr fontId="20" type="noConversion"/>
  </si>
  <si>
    <t>%</t>
    <phoneticPr fontId="20" type="noConversion"/>
  </si>
  <si>
    <t xml:space="preserve">  ♦ 임대료, 관리비 조정/변경 현황</t>
    <phoneticPr fontId="20" type="noConversion"/>
  </si>
  <si>
    <t xml:space="preserve">  ♦ 당월 임대차 종료/만료내역</t>
    <phoneticPr fontId="20" type="noConversion"/>
  </si>
  <si>
    <t>임대
면적</t>
    <phoneticPr fontId="20" type="noConversion"/>
  </si>
  <si>
    <t>차감</t>
    <phoneticPr fontId="20" type="noConversion"/>
  </si>
  <si>
    <t>보증금 상환액</t>
    <phoneticPr fontId="20" type="noConversion"/>
  </si>
  <si>
    <t>금액</t>
    <phoneticPr fontId="20" type="noConversion"/>
  </si>
  <si>
    <t>일시</t>
    <phoneticPr fontId="20" type="noConversion"/>
  </si>
  <si>
    <t>생상소울</t>
    <phoneticPr fontId="6" type="noConversion"/>
  </si>
  <si>
    <t>33-1</t>
    <phoneticPr fontId="6" type="noConversion"/>
  </si>
  <si>
    <t>중도 해지</t>
    <phoneticPr fontId="6" type="noConversion"/>
  </si>
  <si>
    <t>3) 신규, 재계약, 만료 현황</t>
    <phoneticPr fontId="6" type="noConversion"/>
  </si>
  <si>
    <t>4) 청구수납현황</t>
    <phoneticPr fontId="16" type="noConversion"/>
  </si>
  <si>
    <t>(단위 : 원,VAT별도)</t>
    <phoneticPr fontId="16" type="noConversion"/>
  </si>
  <si>
    <t>구    분</t>
    <phoneticPr fontId="8" type="noConversion"/>
  </si>
  <si>
    <t>예산 대비 오차 분석</t>
    <phoneticPr fontId="6" type="noConversion"/>
  </si>
  <si>
    <t>정액 임대료</t>
    <phoneticPr fontId="8" type="noConversion"/>
  </si>
  <si>
    <t>정액 관리비</t>
    <phoneticPr fontId="20" type="noConversion"/>
  </si>
  <si>
    <t>합    계</t>
    <phoneticPr fontId="8" type="noConversion"/>
  </si>
  <si>
    <t>(단위 : 원, VAT별도)</t>
    <phoneticPr fontId="16" type="noConversion"/>
  </si>
  <si>
    <t>품 목</t>
    <phoneticPr fontId="20" type="noConversion"/>
  </si>
  <si>
    <t>청구내역</t>
    <phoneticPr fontId="20" type="noConversion"/>
  </si>
  <si>
    <t>입금내역</t>
    <phoneticPr fontId="20" type="noConversion"/>
  </si>
  <si>
    <t>미수금액(VAT포함)</t>
    <phoneticPr fontId="20" type="noConversion"/>
  </si>
  <si>
    <t>연체료</t>
    <phoneticPr fontId="20" type="noConversion"/>
  </si>
  <si>
    <t>공급가액</t>
    <phoneticPr fontId="20" type="noConversion"/>
  </si>
  <si>
    <t>합 계</t>
    <phoneticPr fontId="20" type="noConversion"/>
  </si>
  <si>
    <t>합  계</t>
    <phoneticPr fontId="20" type="noConversion"/>
  </si>
  <si>
    <t>입금일자</t>
    <phoneticPr fontId="20" type="noConversion"/>
  </si>
  <si>
    <t>연체료
적용일수</t>
    <phoneticPr fontId="20" type="noConversion"/>
  </si>
  <si>
    <t>주식회사 케이비손해보험</t>
    <phoneticPr fontId="6" type="noConversion"/>
  </si>
  <si>
    <t>합계</t>
    <phoneticPr fontId="20" type="noConversion"/>
  </si>
  <si>
    <t>총합</t>
    <phoneticPr fontId="20" type="noConversion"/>
  </si>
  <si>
    <t>추가관리비</t>
    <phoneticPr fontId="20" type="noConversion"/>
  </si>
  <si>
    <t>(단위 : 원)</t>
    <phoneticPr fontId="16" type="noConversion"/>
  </si>
  <si>
    <t>미수금액</t>
    <phoneticPr fontId="20" type="noConversion"/>
  </si>
  <si>
    <t>추가전기료</t>
    <phoneticPr fontId="8" type="noConversion"/>
  </si>
  <si>
    <t>추가장비 전기료</t>
    <phoneticPr fontId="8" type="noConversion"/>
  </si>
  <si>
    <t>추가냉난방</t>
    <phoneticPr fontId="8" type="noConversion"/>
  </si>
  <si>
    <t>추가장비 전력기금</t>
    <phoneticPr fontId="8" type="noConversion"/>
  </si>
  <si>
    <t>추가전력기금</t>
    <phoneticPr fontId="8" type="noConversion"/>
  </si>
  <si>
    <t>[기타 수익 청구내역]</t>
    <phoneticPr fontId="8" type="noConversion"/>
  </si>
  <si>
    <t>거래처</t>
    <phoneticPr fontId="8" type="noConversion"/>
  </si>
  <si>
    <t>매출내역</t>
    <phoneticPr fontId="8" type="noConversion"/>
  </si>
  <si>
    <t>입금일자</t>
    <phoneticPr fontId="6" type="noConversion"/>
  </si>
  <si>
    <t>공급가액</t>
    <phoneticPr fontId="8" type="noConversion"/>
  </si>
  <si>
    <t>부가세</t>
    <phoneticPr fontId="8" type="noConversion"/>
  </si>
  <si>
    <t>합계</t>
    <phoneticPr fontId="8" type="noConversion"/>
  </si>
  <si>
    <t>티앤더블유코리아</t>
    <phoneticPr fontId="8" type="noConversion"/>
  </si>
  <si>
    <t>스페이스애드</t>
    <phoneticPr fontId="8" type="noConversion"/>
  </si>
  <si>
    <t>2-4) 청구 수납 현황</t>
    <phoneticPr fontId="16" type="noConversion"/>
  </si>
  <si>
    <t>5) 임대시장 현황</t>
    <phoneticPr fontId="8" type="noConversion"/>
  </si>
  <si>
    <t>(단위 : 평, 원)</t>
    <phoneticPr fontId="20" type="noConversion"/>
  </si>
  <si>
    <t>빌딩명</t>
    <phoneticPr fontId="38" type="noConversion"/>
  </si>
  <si>
    <t>빌딩명</t>
    <phoneticPr fontId="38" type="noConversion"/>
  </si>
  <si>
    <t>준공
년도</t>
    <phoneticPr fontId="20" type="noConversion"/>
  </si>
  <si>
    <t>전용율</t>
    <phoneticPr fontId="38" type="noConversion"/>
  </si>
  <si>
    <t>T.I
(전용/평)</t>
    <phoneticPr fontId="6" type="noConversion"/>
  </si>
  <si>
    <t>GFA</t>
    <phoneticPr fontId="38" type="noConversion"/>
  </si>
  <si>
    <t>공실</t>
    <phoneticPr fontId="38" type="noConversion"/>
  </si>
  <si>
    <t>점유율</t>
    <phoneticPr fontId="38" type="noConversion"/>
  </si>
  <si>
    <t>보증금</t>
    <phoneticPr fontId="38" type="noConversion"/>
  </si>
  <si>
    <t>임대료</t>
    <phoneticPr fontId="38" type="noConversion"/>
  </si>
  <si>
    <t>관리비</t>
    <phoneticPr fontId="38" type="noConversion"/>
  </si>
  <si>
    <t xml:space="preserve">Fit-Out </t>
    <phoneticPr fontId="6" type="noConversion"/>
  </si>
  <si>
    <t>임대가능</t>
    <phoneticPr fontId="38" type="noConversion"/>
  </si>
  <si>
    <t>NOC(실질)</t>
    <phoneticPr fontId="8" type="noConversion"/>
  </si>
  <si>
    <t>보정임대료</t>
    <phoneticPr fontId="20" type="noConversion"/>
  </si>
  <si>
    <t>센터포인트웨스트</t>
    <phoneticPr fontId="8" type="noConversion"/>
  </si>
  <si>
    <t>디큐브시티
(Space K)</t>
    <phoneticPr fontId="8" type="noConversion"/>
  </si>
  <si>
    <t>디큐브시티
(Space K)</t>
    <phoneticPr fontId="8" type="noConversion"/>
  </si>
  <si>
    <t>지밸리
비즈플라자</t>
    <phoneticPr fontId="8" type="noConversion"/>
  </si>
  <si>
    <t>KB손해보험
합정빌딩</t>
    <phoneticPr fontId="8" type="noConversion"/>
  </si>
  <si>
    <t>평균</t>
    <phoneticPr fontId="38" type="noConversion"/>
  </si>
  <si>
    <t>2-5) 임대시장 현황</t>
    <phoneticPr fontId="16" type="noConversion"/>
  </si>
  <si>
    <t>1) 재무상태표</t>
    <phoneticPr fontId="16" type="noConversion"/>
  </si>
  <si>
    <t>㈜케이비운용제1호위탁관리부동산투자회사</t>
    <phoneticPr fontId="8" type="noConversion"/>
  </si>
  <si>
    <t>과목</t>
    <phoneticPr fontId="20" type="noConversion"/>
  </si>
  <si>
    <t>자    산</t>
    <phoneticPr fontId="20" type="noConversion"/>
  </si>
  <si>
    <t>Ⅰ. 유동자산</t>
    <phoneticPr fontId="20" type="noConversion"/>
  </si>
  <si>
    <t xml:space="preserve">  (1) 당좌자산</t>
    <phoneticPr fontId="8" type="noConversion"/>
  </si>
  <si>
    <t>1.</t>
    <phoneticPr fontId="20" type="noConversion"/>
  </si>
  <si>
    <t>예금</t>
    <phoneticPr fontId="20" type="noConversion"/>
  </si>
  <si>
    <t>2.</t>
    <phoneticPr fontId="20" type="noConversion"/>
  </si>
  <si>
    <t>단기금융상품</t>
    <phoneticPr fontId="20" type="noConversion"/>
  </si>
  <si>
    <t>매출채권</t>
    <phoneticPr fontId="20" type="noConversion"/>
  </si>
  <si>
    <t>미수금</t>
    <phoneticPr fontId="20" type="noConversion"/>
  </si>
  <si>
    <t>미수수익</t>
    <phoneticPr fontId="20" type="noConversion"/>
  </si>
  <si>
    <t>선급금</t>
    <phoneticPr fontId="20" type="noConversion"/>
  </si>
  <si>
    <t>선급비용</t>
    <phoneticPr fontId="20" type="noConversion"/>
  </si>
  <si>
    <t>선급부가세</t>
    <phoneticPr fontId="20" type="noConversion"/>
  </si>
  <si>
    <t>미수법인세환급액</t>
    <phoneticPr fontId="20" type="noConversion"/>
  </si>
  <si>
    <t>Ⅱ. 비유동자산</t>
    <phoneticPr fontId="20" type="noConversion"/>
  </si>
  <si>
    <t xml:space="preserve">  (1) 투자자산</t>
    <phoneticPr fontId="8" type="noConversion"/>
  </si>
  <si>
    <t>장기금융상품</t>
    <phoneticPr fontId="20" type="noConversion"/>
  </si>
  <si>
    <t xml:space="preserve">  (2) 유형자산</t>
    <phoneticPr fontId="8" type="noConversion"/>
  </si>
  <si>
    <t>토지</t>
    <phoneticPr fontId="20" type="noConversion"/>
  </si>
  <si>
    <t>건물</t>
    <phoneticPr fontId="20" type="noConversion"/>
  </si>
  <si>
    <t>감가상각누계액</t>
    <phoneticPr fontId="20" type="noConversion"/>
  </si>
  <si>
    <t>건설중인자산</t>
    <phoneticPr fontId="8" type="noConversion"/>
  </si>
  <si>
    <t xml:space="preserve">  (3) 기타비유동자산</t>
    <phoneticPr fontId="8" type="noConversion"/>
  </si>
  <si>
    <t>1.</t>
    <phoneticPr fontId="8" type="noConversion"/>
  </si>
  <si>
    <t>기타보증금</t>
    <phoneticPr fontId="8" type="noConversion"/>
  </si>
  <si>
    <t>장기선급비용</t>
    <phoneticPr fontId="20" type="noConversion"/>
  </si>
  <si>
    <t>자산총계</t>
    <phoneticPr fontId="20" type="noConversion"/>
  </si>
  <si>
    <t>부    채</t>
    <phoneticPr fontId="20" type="noConversion"/>
  </si>
  <si>
    <t>Ⅰ. 유동부채</t>
    <phoneticPr fontId="20" type="noConversion"/>
  </si>
  <si>
    <t>미지급금</t>
    <phoneticPr fontId="20" type="noConversion"/>
  </si>
  <si>
    <t>미지급비용</t>
    <phoneticPr fontId="20" type="noConversion"/>
  </si>
  <si>
    <t>미지급회계용역보수</t>
    <phoneticPr fontId="20" type="noConversion"/>
  </si>
  <si>
    <t>미지급제세공과금</t>
    <phoneticPr fontId="20" type="noConversion"/>
  </si>
  <si>
    <t>미지급기타비용</t>
    <phoneticPr fontId="20" type="noConversion"/>
  </si>
  <si>
    <t>3.</t>
    <phoneticPr fontId="8" type="noConversion"/>
  </si>
  <si>
    <t>선수금</t>
    <phoneticPr fontId="20" type="noConversion"/>
  </si>
  <si>
    <t>예수금</t>
    <phoneticPr fontId="20" type="noConversion"/>
  </si>
  <si>
    <t>부가세예수금</t>
    <phoneticPr fontId="20" type="noConversion"/>
  </si>
  <si>
    <t>6.</t>
    <phoneticPr fontId="8" type="noConversion"/>
  </si>
  <si>
    <t>단기차입금</t>
    <phoneticPr fontId="20" type="noConversion"/>
  </si>
  <si>
    <t>7.</t>
    <phoneticPr fontId="8" type="noConversion"/>
  </si>
  <si>
    <t>이행보증금</t>
    <phoneticPr fontId="20" type="noConversion"/>
  </si>
  <si>
    <t>Ⅱ. 비유동부채</t>
    <phoneticPr fontId="20" type="noConversion"/>
  </si>
  <si>
    <t>장기차입금</t>
    <phoneticPr fontId="20" type="noConversion"/>
  </si>
  <si>
    <t>2.</t>
    <phoneticPr fontId="8" type="noConversion"/>
  </si>
  <si>
    <t>임대보증금</t>
    <phoneticPr fontId="20" type="noConversion"/>
  </si>
  <si>
    <t>부채총계</t>
    <phoneticPr fontId="20" type="noConversion"/>
  </si>
  <si>
    <t>자    본</t>
    <phoneticPr fontId="20" type="noConversion"/>
  </si>
  <si>
    <r>
      <t>Ⅰ</t>
    </r>
    <r>
      <rPr>
        <b/>
        <sz val="8.5"/>
        <rFont val="맑은 고딕"/>
        <family val="3"/>
        <charset val="129"/>
      </rPr>
      <t xml:space="preserve">. </t>
    </r>
    <r>
      <rPr>
        <b/>
        <sz val="10"/>
        <rFont val="맑은 고딕"/>
        <family val="3"/>
        <charset val="129"/>
      </rPr>
      <t>자본금</t>
    </r>
    <phoneticPr fontId="20" type="noConversion"/>
  </si>
  <si>
    <t>보통주자본금</t>
    <phoneticPr fontId="20" type="noConversion"/>
  </si>
  <si>
    <t>종류주자본금(A)</t>
    <phoneticPr fontId="20" type="noConversion"/>
  </si>
  <si>
    <t>종류주자본금(B)</t>
    <phoneticPr fontId="20" type="noConversion"/>
  </si>
  <si>
    <r>
      <t>Ⅱ</t>
    </r>
    <r>
      <rPr>
        <b/>
        <sz val="8.5"/>
        <rFont val="맑은 고딕"/>
        <family val="3"/>
        <charset val="129"/>
      </rPr>
      <t xml:space="preserve">. </t>
    </r>
    <r>
      <rPr>
        <b/>
        <sz val="10"/>
        <rFont val="맑은 고딕"/>
        <family val="3"/>
        <charset val="129"/>
      </rPr>
      <t>자본조정</t>
    </r>
    <phoneticPr fontId="20" type="noConversion"/>
  </si>
  <si>
    <t>주식할인발행차금</t>
    <phoneticPr fontId="20" type="noConversion"/>
  </si>
  <si>
    <t>신주청약증거금</t>
    <phoneticPr fontId="20" type="noConversion"/>
  </si>
  <si>
    <t>3.</t>
    <phoneticPr fontId="20" type="noConversion"/>
  </si>
  <si>
    <t>감자차손</t>
    <phoneticPr fontId="20" type="noConversion"/>
  </si>
  <si>
    <t>Ⅲ. 자본잉여금</t>
    <phoneticPr fontId="20" type="noConversion"/>
  </si>
  <si>
    <t>주식발행초과금</t>
    <phoneticPr fontId="20" type="noConversion"/>
  </si>
  <si>
    <t>Ⅳ. 기타포괄손익누계액</t>
    <phoneticPr fontId="20" type="noConversion"/>
  </si>
  <si>
    <t>재평가잉여금</t>
    <phoneticPr fontId="20" type="noConversion"/>
  </si>
  <si>
    <t>Ⅴ. 이익잉여금</t>
    <phoneticPr fontId="20" type="noConversion"/>
  </si>
  <si>
    <t>당기순이익</t>
    <phoneticPr fontId="20" type="noConversion"/>
  </si>
  <si>
    <t>자본총계</t>
    <phoneticPr fontId="20" type="noConversion"/>
  </si>
  <si>
    <t>부채 및 자본 총계</t>
    <phoneticPr fontId="20" type="noConversion"/>
  </si>
  <si>
    <t>제14기  누계</t>
    <phoneticPr fontId="8" type="noConversion"/>
  </si>
  <si>
    <t>2024.04</t>
    <phoneticPr fontId="8" type="noConversion"/>
  </si>
  <si>
    <t>제13기  누계</t>
    <phoneticPr fontId="8" type="noConversion"/>
  </si>
  <si>
    <t>2024.03</t>
    <phoneticPr fontId="8" type="noConversion"/>
  </si>
  <si>
    <t>2024.02</t>
    <phoneticPr fontId="8" type="noConversion"/>
  </si>
  <si>
    <t>2024.01</t>
    <phoneticPr fontId="8" type="noConversion"/>
  </si>
  <si>
    <t>2023.12</t>
    <phoneticPr fontId="8" type="noConversion"/>
  </si>
  <si>
    <t>2023.11</t>
    <phoneticPr fontId="8" type="noConversion"/>
  </si>
  <si>
    <t>2023.10</t>
    <phoneticPr fontId="8" type="noConversion"/>
  </si>
  <si>
    <t>제12기  누계</t>
    <phoneticPr fontId="8" type="noConversion"/>
  </si>
  <si>
    <t>2023.09</t>
    <phoneticPr fontId="8" type="noConversion"/>
  </si>
  <si>
    <t>2023.08</t>
    <phoneticPr fontId="8" type="noConversion"/>
  </si>
  <si>
    <t>2023.07</t>
    <phoneticPr fontId="8" type="noConversion"/>
  </si>
  <si>
    <t>2023.06</t>
    <phoneticPr fontId="8" type="noConversion"/>
  </si>
  <si>
    <t>2023.05</t>
    <phoneticPr fontId="8" type="noConversion"/>
  </si>
  <si>
    <t>2023.04</t>
    <phoneticPr fontId="8" type="noConversion"/>
  </si>
  <si>
    <t>제11기  누계</t>
    <phoneticPr fontId="8" type="noConversion"/>
  </si>
  <si>
    <t>2023.03</t>
    <phoneticPr fontId="8" type="noConversion"/>
  </si>
  <si>
    <t>2023.02</t>
    <phoneticPr fontId="8" type="noConversion"/>
  </si>
  <si>
    <t>2023.01</t>
    <phoneticPr fontId="8" type="noConversion"/>
  </si>
  <si>
    <t>2022.11</t>
    <phoneticPr fontId="8" type="noConversion"/>
  </si>
  <si>
    <t>2022.10</t>
    <phoneticPr fontId="8" type="noConversion"/>
  </si>
  <si>
    <t>제10기  누계</t>
    <phoneticPr fontId="8" type="noConversion"/>
  </si>
  <si>
    <t>2022.09</t>
    <phoneticPr fontId="8" type="noConversion"/>
  </si>
  <si>
    <t>2022.08</t>
    <phoneticPr fontId="8" type="noConversion"/>
  </si>
  <si>
    <t>2022.07</t>
    <phoneticPr fontId="8" type="noConversion"/>
  </si>
  <si>
    <t>2022.06</t>
    <phoneticPr fontId="8" type="noConversion"/>
  </si>
  <si>
    <t>2022.05</t>
    <phoneticPr fontId="8" type="noConversion"/>
  </si>
  <si>
    <t>2022.04</t>
    <phoneticPr fontId="8" type="noConversion"/>
  </si>
  <si>
    <t>제9기  누계</t>
    <phoneticPr fontId="8" type="noConversion"/>
  </si>
  <si>
    <t>2022.03</t>
    <phoneticPr fontId="8" type="noConversion"/>
  </si>
  <si>
    <t>2022.02</t>
    <phoneticPr fontId="8" type="noConversion"/>
  </si>
  <si>
    <t>2022.01</t>
    <phoneticPr fontId="8" type="noConversion"/>
  </si>
  <si>
    <t>2021.12</t>
    <phoneticPr fontId="8" type="noConversion"/>
  </si>
  <si>
    <t>2021.11</t>
    <phoneticPr fontId="8" type="noConversion"/>
  </si>
  <si>
    <t>2021.10</t>
    <phoneticPr fontId="8" type="noConversion"/>
  </si>
  <si>
    <t>2021.08</t>
    <phoneticPr fontId="8" type="noConversion"/>
  </si>
  <si>
    <t>2021.07</t>
    <phoneticPr fontId="8" type="noConversion"/>
  </si>
  <si>
    <t>2021.06</t>
    <phoneticPr fontId="8" type="noConversion"/>
  </si>
  <si>
    <t>2021.05</t>
    <phoneticPr fontId="8" type="noConversion"/>
  </si>
  <si>
    <t>제7기  누계</t>
    <phoneticPr fontId="8" type="noConversion"/>
  </si>
  <si>
    <t>2021.03</t>
    <phoneticPr fontId="8" type="noConversion"/>
  </si>
  <si>
    <t>2021.02</t>
    <phoneticPr fontId="8" type="noConversion"/>
  </si>
  <si>
    <t>2021.01</t>
    <phoneticPr fontId="8" type="noConversion"/>
  </si>
  <si>
    <t>2020.12</t>
    <phoneticPr fontId="8" type="noConversion"/>
  </si>
  <si>
    <t>2020.11</t>
    <phoneticPr fontId="8" type="noConversion"/>
  </si>
  <si>
    <t>2020.10</t>
    <phoneticPr fontId="8" type="noConversion"/>
  </si>
  <si>
    <t>2020.09</t>
    <phoneticPr fontId="8" type="noConversion"/>
  </si>
  <si>
    <t>2020.08</t>
    <phoneticPr fontId="8" type="noConversion"/>
  </si>
  <si>
    <t>2020.07</t>
    <phoneticPr fontId="8" type="noConversion"/>
  </si>
  <si>
    <t>2020.06</t>
    <phoneticPr fontId="8" type="noConversion"/>
  </si>
  <si>
    <t>2020.05</t>
    <phoneticPr fontId="8" type="noConversion"/>
  </si>
  <si>
    <t>2020.04</t>
    <phoneticPr fontId="8" type="noConversion"/>
  </si>
  <si>
    <t>2020.03</t>
    <phoneticPr fontId="8" type="noConversion"/>
  </si>
  <si>
    <t>2020.02</t>
    <phoneticPr fontId="8" type="noConversion"/>
  </si>
  <si>
    <t>2020.01</t>
    <phoneticPr fontId="8" type="noConversion"/>
  </si>
  <si>
    <t>2019.11</t>
    <phoneticPr fontId="8" type="noConversion"/>
  </si>
  <si>
    <t>2019.10</t>
    <phoneticPr fontId="8" type="noConversion"/>
  </si>
  <si>
    <t>2019.05</t>
    <phoneticPr fontId="8" type="noConversion"/>
  </si>
  <si>
    <t>제3기  누계</t>
    <phoneticPr fontId="8" type="noConversion"/>
  </si>
  <si>
    <t>2018.11</t>
    <phoneticPr fontId="8" type="noConversion"/>
  </si>
  <si>
    <t>2018.10</t>
    <phoneticPr fontId="8" type="noConversion"/>
  </si>
  <si>
    <t>2018.05</t>
    <phoneticPr fontId="8" type="noConversion"/>
  </si>
  <si>
    <t>2018.04</t>
    <phoneticPr fontId="8" type="noConversion"/>
  </si>
  <si>
    <t>2017.10</t>
    <phoneticPr fontId="8" type="noConversion"/>
  </si>
  <si>
    <t>2017.07.</t>
    <phoneticPr fontId="8" type="noConversion"/>
  </si>
  <si>
    <t>2017.06.</t>
    <phoneticPr fontId="8" type="noConversion"/>
  </si>
  <si>
    <t>관리비수익</t>
    <phoneticPr fontId="8" type="noConversion"/>
  </si>
  <si>
    <t>기타수익</t>
    <phoneticPr fontId="8" type="noConversion"/>
  </si>
  <si>
    <t>부동산매각차익</t>
    <phoneticPr fontId="8" type="noConversion"/>
  </si>
  <si>
    <t xml:space="preserve"> (1) 부동산운용비용</t>
    <phoneticPr fontId="8" type="noConversion"/>
  </si>
  <si>
    <t>PM fee</t>
    <phoneticPr fontId="8" type="noConversion"/>
  </si>
  <si>
    <t>FM fee</t>
    <phoneticPr fontId="8" type="noConversion"/>
  </si>
  <si>
    <t>기타관리비</t>
    <phoneticPr fontId="8" type="noConversion"/>
  </si>
  <si>
    <t>임원보수</t>
    <phoneticPr fontId="8" type="noConversion"/>
  </si>
  <si>
    <t>감가상각비</t>
    <phoneticPr fontId="8" type="noConversion"/>
  </si>
  <si>
    <t>보험료</t>
    <phoneticPr fontId="8" type="noConversion"/>
  </si>
  <si>
    <t>자산관리수수료</t>
    <phoneticPr fontId="8" type="noConversion"/>
  </si>
  <si>
    <t>자산보관수수료</t>
    <phoneticPr fontId="8" type="noConversion"/>
  </si>
  <si>
    <t>사무수탁수수료</t>
    <phoneticPr fontId="8" type="noConversion"/>
  </si>
  <si>
    <t>지급수수료</t>
    <phoneticPr fontId="8" type="noConversion"/>
  </si>
  <si>
    <t>세금과공과</t>
    <phoneticPr fontId="8" type="noConversion"/>
  </si>
  <si>
    <t>간주매출부가세</t>
    <phoneticPr fontId="8" type="noConversion"/>
  </si>
  <si>
    <t>기타비용</t>
    <phoneticPr fontId="8" type="noConversion"/>
  </si>
  <si>
    <t>이자수익</t>
    <phoneticPr fontId="8" type="noConversion"/>
  </si>
  <si>
    <t>잡이익</t>
    <phoneticPr fontId="8" type="noConversion"/>
  </si>
  <si>
    <t>잡손실</t>
    <phoneticPr fontId="8" type="noConversion"/>
  </si>
  <si>
    <t>◀날짜 확인</t>
    <phoneticPr fontId="6" type="noConversion"/>
  </si>
  <si>
    <t>※ 아래 자료 공실, 임대가능면적 기입하기</t>
    <phoneticPr fontId="6" type="noConversion"/>
  </si>
  <si>
    <t>1번</t>
    <phoneticPr fontId="6" type="noConversion"/>
  </si>
  <si>
    <t>계획</t>
    <phoneticPr fontId="6" type="noConversion"/>
  </si>
  <si>
    <t>실적</t>
    <phoneticPr fontId="6" type="noConversion"/>
  </si>
  <si>
    <t>공실(py)</t>
    <phoneticPr fontId="6" type="noConversion"/>
  </si>
  <si>
    <t>구분</t>
    <phoneticPr fontId="20" type="noConversion"/>
  </si>
  <si>
    <t>실적</t>
    <phoneticPr fontId="20" type="noConversion"/>
  </si>
  <si>
    <t>임대가능면적(py)</t>
    <phoneticPr fontId="6" type="noConversion"/>
  </si>
  <si>
    <t>Py</t>
    <phoneticPr fontId="20" type="noConversion"/>
  </si>
  <si>
    <t>%</t>
    <phoneticPr fontId="20" type="noConversion"/>
  </si>
  <si>
    <t>Py</t>
    <phoneticPr fontId="20" type="noConversion"/>
  </si>
  <si>
    <t>%</t>
    <phoneticPr fontId="20" type="noConversion"/>
  </si>
  <si>
    <t>점유(py)</t>
    <phoneticPr fontId="6" type="noConversion"/>
  </si>
  <si>
    <t>점유비율(%)</t>
    <phoneticPr fontId="6" type="noConversion"/>
  </si>
  <si>
    <t>공실</t>
    <phoneticPr fontId="20" type="noConversion"/>
  </si>
  <si>
    <t>공실비율(%)</t>
    <phoneticPr fontId="6" type="noConversion"/>
  </si>
  <si>
    <t>임대가능면적</t>
    <phoneticPr fontId="20" type="noConversion"/>
  </si>
  <si>
    <t xml:space="preserve"> ※ 공실 산정시 임대차계약 완료된 면적은 제외</t>
    <phoneticPr fontId="8" type="noConversion"/>
  </si>
  <si>
    <t xml:space="preserve">( 단위: 백만원 )
</t>
    <phoneticPr fontId="20" type="noConversion"/>
  </si>
  <si>
    <t>예산</t>
    <phoneticPr fontId="20" type="noConversion"/>
  </si>
  <si>
    <t>예산</t>
    <phoneticPr fontId="20" type="noConversion"/>
  </si>
  <si>
    <t>실적</t>
    <phoneticPr fontId="20" type="noConversion"/>
  </si>
  <si>
    <t>차이</t>
    <phoneticPr fontId="20" type="noConversion"/>
  </si>
  <si>
    <t>%</t>
    <phoneticPr fontId="20" type="noConversion"/>
  </si>
  <si>
    <t>NOI</t>
    <phoneticPr fontId="20" type="noConversion"/>
  </si>
  <si>
    <t>CAPEX</t>
    <phoneticPr fontId="6" type="noConversion"/>
  </si>
  <si>
    <t>(단위:백만원, VAT 별도)</t>
    <phoneticPr fontId="6" type="noConversion"/>
  </si>
  <si>
    <t>구분</t>
    <phoneticPr fontId="16" type="noConversion"/>
  </si>
  <si>
    <t>※ 당월 수식 수정하기</t>
    <phoneticPr fontId="6" type="noConversion"/>
  </si>
  <si>
    <t>실적</t>
    <phoneticPr fontId="16" type="noConversion"/>
  </si>
  <si>
    <t>증감</t>
    <phoneticPr fontId="16" type="noConversion"/>
  </si>
  <si>
    <t>달성율</t>
    <phoneticPr fontId="16" type="noConversion"/>
  </si>
  <si>
    <t>4월</t>
    <phoneticPr fontId="6" type="noConversion"/>
  </si>
  <si>
    <t>5월</t>
    <phoneticPr fontId="6" type="noConversion"/>
  </si>
  <si>
    <t>6월</t>
    <phoneticPr fontId="6" type="noConversion"/>
  </si>
  <si>
    <t>7월</t>
    <phoneticPr fontId="6" type="noConversion"/>
  </si>
  <si>
    <t>8월</t>
    <phoneticPr fontId="6" type="noConversion"/>
  </si>
  <si>
    <t>9월</t>
    <phoneticPr fontId="6" type="noConversion"/>
  </si>
  <si>
    <t>실적 누계</t>
    <phoneticPr fontId="16" type="noConversion"/>
  </si>
  <si>
    <t>임대료수입</t>
    <phoneticPr fontId="16" type="noConversion"/>
  </si>
  <si>
    <t>관리비수입</t>
    <phoneticPr fontId="8" type="noConversion"/>
  </si>
  <si>
    <t>기타수익</t>
    <phoneticPr fontId="8" type="noConversion"/>
  </si>
  <si>
    <t xml:space="preserve"> 운용수수료</t>
    <phoneticPr fontId="6" type="noConversion"/>
  </si>
  <si>
    <t>AMC수수료</t>
    <phoneticPr fontId="8" type="noConversion"/>
  </si>
  <si>
    <t>자산보관</t>
    <phoneticPr fontId="8" type="noConversion"/>
  </si>
  <si>
    <t>사무수탁</t>
    <phoneticPr fontId="8" type="noConversion"/>
  </si>
  <si>
    <t xml:space="preserve"> 일반관리비</t>
    <phoneticPr fontId="8" type="noConversion"/>
  </si>
  <si>
    <t>기타일반관리비</t>
    <phoneticPr fontId="8" type="noConversion"/>
  </si>
  <si>
    <t>임원보수</t>
    <phoneticPr fontId="8" type="noConversion"/>
  </si>
  <si>
    <t>간주임대료부가세</t>
    <phoneticPr fontId="8" type="noConversion"/>
  </si>
  <si>
    <t>감가상각비</t>
    <phoneticPr fontId="8" type="noConversion"/>
  </si>
  <si>
    <t xml:space="preserve"> 부동산관리비</t>
    <phoneticPr fontId="8" type="noConversion"/>
  </si>
  <si>
    <t>FM수수료</t>
    <phoneticPr fontId="8" type="noConversion"/>
  </si>
  <si>
    <t>일반관리비</t>
    <phoneticPr fontId="8" type="noConversion"/>
  </si>
  <si>
    <t>FM수수료-2</t>
    <phoneticPr fontId="6" type="noConversion"/>
  </si>
  <si>
    <t>출력시 숨기기</t>
    <phoneticPr fontId="8" type="noConversion"/>
  </si>
  <si>
    <t>제세공과금</t>
    <phoneticPr fontId="8" type="noConversion"/>
  </si>
  <si>
    <t>교통유발부담금</t>
    <phoneticPr fontId="8" type="noConversion"/>
  </si>
  <si>
    <t>출력시 숨기기</t>
    <phoneticPr fontId="8" type="noConversion"/>
  </si>
  <si>
    <t>재산세</t>
    <phoneticPr fontId="8" type="noConversion"/>
  </si>
  <si>
    <t>-</t>
    <phoneticPr fontId="6" type="noConversion"/>
  </si>
  <si>
    <t xml:space="preserve"> 당기순이익</t>
    <phoneticPr fontId="16" type="noConversion"/>
  </si>
  <si>
    <t>분기의 경우 소수점 마감 때문에 자료 달라질 수 있음(원단위까지 같은지 필히 확인)</t>
    <phoneticPr fontId="6" type="noConversion"/>
  </si>
  <si>
    <t>[기타관리비 내역]</t>
    <phoneticPr fontId="8" type="noConversion"/>
  </si>
  <si>
    <t xml:space="preserve">  누계</t>
    <phoneticPr fontId="8" type="noConversion"/>
  </si>
  <si>
    <t>2024.04</t>
    <phoneticPr fontId="6" type="noConversion"/>
  </si>
  <si>
    <t>2024.03</t>
    <phoneticPr fontId="6" type="noConversion"/>
  </si>
  <si>
    <t>2024.02</t>
    <phoneticPr fontId="6" type="noConversion"/>
  </si>
  <si>
    <t>2023.07</t>
    <phoneticPr fontId="6" type="noConversion"/>
  </si>
  <si>
    <t>2023.06</t>
    <phoneticPr fontId="6" type="noConversion"/>
  </si>
  <si>
    <t>2023.05</t>
    <phoneticPr fontId="6" type="noConversion"/>
  </si>
  <si>
    <t>2023.04</t>
    <phoneticPr fontId="6" type="noConversion"/>
  </si>
  <si>
    <t>2023.03</t>
    <phoneticPr fontId="6" type="noConversion"/>
  </si>
  <si>
    <t>2023.02</t>
    <phoneticPr fontId="6" type="noConversion"/>
  </si>
  <si>
    <t>2023.01</t>
    <phoneticPr fontId="6" type="noConversion"/>
  </si>
  <si>
    <t>2022.12</t>
    <phoneticPr fontId="6" type="noConversion"/>
  </si>
  <si>
    <t>2022.11</t>
    <phoneticPr fontId="6" type="noConversion"/>
  </si>
  <si>
    <t>2022.10</t>
    <phoneticPr fontId="6" type="noConversion"/>
  </si>
  <si>
    <t>2022.09</t>
    <phoneticPr fontId="6" type="noConversion"/>
  </si>
  <si>
    <t>2022.08</t>
    <phoneticPr fontId="6" type="noConversion"/>
  </si>
  <si>
    <t>2022.07</t>
    <phoneticPr fontId="6" type="noConversion"/>
  </si>
  <si>
    <t>2022.06</t>
    <phoneticPr fontId="6" type="noConversion"/>
  </si>
  <si>
    <t>2022.05</t>
    <phoneticPr fontId="6" type="noConversion"/>
  </si>
  <si>
    <t>2022.04</t>
    <phoneticPr fontId="6" type="noConversion"/>
  </si>
  <si>
    <t>2022.02</t>
    <phoneticPr fontId="8" type="noConversion"/>
  </si>
  <si>
    <t>2022.01</t>
    <phoneticPr fontId="8" type="noConversion"/>
  </si>
  <si>
    <t>2021.12</t>
    <phoneticPr fontId="8" type="noConversion"/>
  </si>
  <si>
    <t>2021.11</t>
    <phoneticPr fontId="8" type="noConversion"/>
  </si>
  <si>
    <t>2021.10</t>
    <phoneticPr fontId="8" type="noConversion"/>
  </si>
  <si>
    <t>2021.09</t>
    <phoneticPr fontId="8" type="noConversion"/>
  </si>
  <si>
    <t>2021.08</t>
    <phoneticPr fontId="8" type="noConversion"/>
  </si>
  <si>
    <t>2021.07</t>
    <phoneticPr fontId="8" type="noConversion"/>
  </si>
  <si>
    <t>2021.06</t>
    <phoneticPr fontId="8" type="noConversion"/>
  </si>
  <si>
    <t>2021.05</t>
    <phoneticPr fontId="8" type="noConversion"/>
  </si>
  <si>
    <t>2021.04</t>
    <phoneticPr fontId="8" type="noConversion"/>
  </si>
  <si>
    <t>2021.03</t>
    <phoneticPr fontId="8" type="noConversion"/>
  </si>
  <si>
    <t>2021.02</t>
    <phoneticPr fontId="8" type="noConversion"/>
  </si>
  <si>
    <t>2021.01</t>
    <phoneticPr fontId="8" type="noConversion"/>
  </si>
  <si>
    <t>2020.12</t>
    <phoneticPr fontId="8" type="noConversion"/>
  </si>
  <si>
    <t>2020.11</t>
    <phoneticPr fontId="8" type="noConversion"/>
  </si>
  <si>
    <t>2020.10</t>
    <phoneticPr fontId="8" type="noConversion"/>
  </si>
  <si>
    <t>2020.09</t>
    <phoneticPr fontId="8" type="noConversion"/>
  </si>
  <si>
    <t>2020.08</t>
    <phoneticPr fontId="8" type="noConversion"/>
  </si>
  <si>
    <t>2020.07</t>
    <phoneticPr fontId="8" type="noConversion"/>
  </si>
  <si>
    <t>2020.06</t>
    <phoneticPr fontId="8" type="noConversion"/>
  </si>
  <si>
    <t>2020.05</t>
    <phoneticPr fontId="8" type="noConversion"/>
  </si>
  <si>
    <t>2020.04</t>
    <phoneticPr fontId="8" type="noConversion"/>
  </si>
  <si>
    <t>2020.03</t>
    <phoneticPr fontId="8" type="noConversion"/>
  </si>
  <si>
    <t>2019.12</t>
    <phoneticPr fontId="8" type="noConversion"/>
  </si>
  <si>
    <t>2019.12</t>
    <phoneticPr fontId="8" type="noConversion"/>
  </si>
  <si>
    <t>2019.03</t>
    <phoneticPr fontId="8" type="noConversion"/>
  </si>
  <si>
    <t>2019.02</t>
    <phoneticPr fontId="8" type="noConversion"/>
  </si>
  <si>
    <t>2019.01</t>
    <phoneticPr fontId="8" type="noConversion"/>
  </si>
  <si>
    <t>2018.12</t>
    <phoneticPr fontId="8" type="noConversion"/>
  </si>
  <si>
    <t>2017.10</t>
    <phoneticPr fontId="8" type="noConversion"/>
  </si>
  <si>
    <t>계획</t>
    <phoneticPr fontId="8" type="noConversion"/>
  </si>
  <si>
    <t>실적</t>
    <phoneticPr fontId="8" type="noConversion"/>
  </si>
  <si>
    <t>계획</t>
    <phoneticPr fontId="8" type="noConversion"/>
  </si>
  <si>
    <t>실적</t>
    <phoneticPr fontId="8" type="noConversion"/>
  </si>
  <si>
    <t>계획</t>
    <phoneticPr fontId="8" type="noConversion"/>
  </si>
  <si>
    <t>실적</t>
    <phoneticPr fontId="8" type="noConversion"/>
  </si>
  <si>
    <t>영업수익</t>
    <phoneticPr fontId="8" type="noConversion"/>
  </si>
  <si>
    <t>수입합계</t>
    <phoneticPr fontId="8" type="noConversion"/>
  </si>
  <si>
    <t>구분</t>
    <phoneticPr fontId="8" type="noConversion"/>
  </si>
  <si>
    <t xml:space="preserve"> 누계</t>
    <phoneticPr fontId="8" type="noConversion"/>
  </si>
  <si>
    <t>2024.02</t>
    <phoneticPr fontId="6" type="noConversion"/>
  </si>
  <si>
    <t>2023.12</t>
    <phoneticPr fontId="6" type="noConversion"/>
  </si>
  <si>
    <t>2023.11</t>
    <phoneticPr fontId="6" type="noConversion"/>
  </si>
  <si>
    <t>2023.09</t>
    <phoneticPr fontId="6" type="noConversion"/>
  </si>
  <si>
    <t>2023.07</t>
    <phoneticPr fontId="6" type="noConversion"/>
  </si>
  <si>
    <t>2023.05</t>
    <phoneticPr fontId="6" type="noConversion"/>
  </si>
  <si>
    <t>2023.04</t>
    <phoneticPr fontId="6" type="noConversion"/>
  </si>
  <si>
    <t>2022.10</t>
    <phoneticPr fontId="6" type="noConversion"/>
  </si>
  <si>
    <t>2022.09</t>
    <phoneticPr fontId="6" type="noConversion"/>
  </si>
  <si>
    <t>2022.06</t>
    <phoneticPr fontId="6" type="noConversion"/>
  </si>
  <si>
    <t>2022.03</t>
    <phoneticPr fontId="8" type="noConversion"/>
  </si>
  <si>
    <t>2021.11</t>
    <phoneticPr fontId="8" type="noConversion"/>
  </si>
  <si>
    <t>2021.10</t>
    <phoneticPr fontId="8" type="noConversion"/>
  </si>
  <si>
    <t>2021.05</t>
    <phoneticPr fontId="8" type="noConversion"/>
  </si>
  <si>
    <t>2021.03</t>
    <phoneticPr fontId="8" type="noConversion"/>
  </si>
  <si>
    <t>2021.02</t>
    <phoneticPr fontId="8" type="noConversion"/>
  </si>
  <si>
    <t>2020.09</t>
    <phoneticPr fontId="8" type="noConversion"/>
  </si>
  <si>
    <t>2020.08</t>
    <phoneticPr fontId="8" type="noConversion"/>
  </si>
  <si>
    <t>2020.07</t>
    <phoneticPr fontId="8" type="noConversion"/>
  </si>
  <si>
    <t>2020.05</t>
    <phoneticPr fontId="8" type="noConversion"/>
  </si>
  <si>
    <t>2020.02</t>
    <phoneticPr fontId="8" type="noConversion"/>
  </si>
  <si>
    <t>2019.11</t>
    <phoneticPr fontId="8" type="noConversion"/>
  </si>
  <si>
    <t>2019.09</t>
    <phoneticPr fontId="8" type="noConversion"/>
  </si>
  <si>
    <t>2019.07</t>
    <phoneticPr fontId="8" type="noConversion"/>
  </si>
  <si>
    <t>2019.06</t>
    <phoneticPr fontId="8" type="noConversion"/>
  </si>
  <si>
    <t>2018.09</t>
    <phoneticPr fontId="8" type="noConversion"/>
  </si>
  <si>
    <t>2018.08</t>
    <phoneticPr fontId="8" type="noConversion"/>
  </si>
  <si>
    <t>2018.07</t>
    <phoneticPr fontId="8" type="noConversion"/>
  </si>
  <si>
    <t>2018.04</t>
    <phoneticPr fontId="8" type="noConversion"/>
  </si>
  <si>
    <t>2018.03</t>
    <phoneticPr fontId="8" type="noConversion"/>
  </si>
  <si>
    <t>2018.01</t>
    <phoneticPr fontId="8" type="noConversion"/>
  </si>
  <si>
    <t>2017.12</t>
    <phoneticPr fontId="8" type="noConversion"/>
  </si>
  <si>
    <t>2017.10</t>
    <phoneticPr fontId="8" type="noConversion"/>
  </si>
  <si>
    <t>영업비용</t>
    <phoneticPr fontId="8" type="noConversion"/>
  </si>
  <si>
    <t>자산보관</t>
    <phoneticPr fontId="8" type="noConversion"/>
  </si>
  <si>
    <t>사무수탁</t>
    <phoneticPr fontId="8" type="noConversion"/>
  </si>
  <si>
    <t>회계감사등, 중개수수료,기타비용</t>
    <phoneticPr fontId="8" type="noConversion"/>
  </si>
  <si>
    <t>FM Fee</t>
    <phoneticPr fontId="8" type="noConversion"/>
  </si>
  <si>
    <t xml:space="preserve"> '표' 상 기타일반관리비, 수도광열비, 수선유지비</t>
    <phoneticPr fontId="6" type="noConversion"/>
  </si>
  <si>
    <t>기타관리비</t>
    <phoneticPr fontId="8" type="noConversion"/>
  </si>
  <si>
    <t>시설유지비, 일반관리비, 외주용역비, 광고홍보비,기타관리비용</t>
    <phoneticPr fontId="6" type="noConversion"/>
  </si>
  <si>
    <t>기타관리비: 관리비고지서(일반관리비~가스공용-수선유지비)-매매대금정산+공용수익배분</t>
    <phoneticPr fontId="8" type="noConversion"/>
  </si>
  <si>
    <t>별도</t>
    <phoneticPr fontId="8" type="noConversion"/>
  </si>
  <si>
    <t>기타관리비: 비용분석현황시트 참조</t>
    <phoneticPr fontId="8" type="noConversion"/>
  </si>
  <si>
    <t>별도</t>
    <phoneticPr fontId="8" type="noConversion"/>
  </si>
  <si>
    <t>기타관리비: 관리비고지서(수선유지비)</t>
    <phoneticPr fontId="8" type="noConversion"/>
  </si>
  <si>
    <t>(장기수선충당금)</t>
    <phoneticPr fontId="8" type="noConversion"/>
  </si>
  <si>
    <t>관리비고지서(장기수선충당금) / 손익계산서상 수선유지비</t>
    <phoneticPr fontId="8" type="noConversion"/>
  </si>
  <si>
    <t>교통유발부담금</t>
    <phoneticPr fontId="8" type="noConversion"/>
  </si>
  <si>
    <t>재산세, 종부세</t>
    <phoneticPr fontId="6" type="noConversion"/>
  </si>
  <si>
    <t>재산세, 교통유발 부담금 등</t>
    <phoneticPr fontId="8" type="noConversion"/>
  </si>
  <si>
    <t xml:space="preserve"> NOI</t>
    <phoneticPr fontId="8" type="noConversion"/>
  </si>
  <si>
    <t>[기타관리비 계산서]</t>
    <phoneticPr fontId="8" type="noConversion"/>
  </si>
  <si>
    <t>당기순이익</t>
    <phoneticPr fontId="8" type="noConversion"/>
  </si>
  <si>
    <t>3) 수입비용현황(2)</t>
    <phoneticPr fontId="16" type="noConversion"/>
  </si>
  <si>
    <t>2024. 04월 기준</t>
    <phoneticPr fontId="20" type="noConversion"/>
  </si>
  <si>
    <t>◀날짜 확인</t>
    <phoneticPr fontId="6" type="noConversion"/>
  </si>
  <si>
    <t xml:space="preserve">       ③ 수입 지출 세부내역 - 당월, 누적 ------------------------------------------------------------------------------------------------------------------------</t>
    <phoneticPr fontId="20" type="noConversion"/>
  </si>
  <si>
    <t>(단위 : 백만원, VAT 별도)</t>
    <phoneticPr fontId="16" type="noConversion"/>
  </si>
  <si>
    <t>구분</t>
    <phoneticPr fontId="20" type="noConversion"/>
  </si>
  <si>
    <t>2024년 1분기</t>
    <phoneticPr fontId="20" type="noConversion"/>
  </si>
  <si>
    <t>2024년 2분기</t>
    <phoneticPr fontId="20" type="noConversion"/>
  </si>
  <si>
    <t>1월</t>
    <phoneticPr fontId="6" type="noConversion"/>
  </si>
  <si>
    <t>1분기 소계</t>
    <phoneticPr fontId="6" type="noConversion"/>
  </si>
  <si>
    <t>4월</t>
    <phoneticPr fontId="6" type="noConversion"/>
  </si>
  <si>
    <t>5월</t>
    <phoneticPr fontId="6" type="noConversion"/>
  </si>
  <si>
    <t>6월</t>
    <phoneticPr fontId="6" type="noConversion"/>
  </si>
  <si>
    <t>2분기 소계</t>
    <phoneticPr fontId="20" type="noConversion"/>
  </si>
  <si>
    <t xml:space="preserve"> 수입(Income)</t>
    <phoneticPr fontId="20" type="noConversion"/>
  </si>
  <si>
    <t>임대료</t>
    <phoneticPr fontId="20" type="noConversion"/>
  </si>
  <si>
    <t>기타수익</t>
    <phoneticPr fontId="20" type="noConversion"/>
  </si>
  <si>
    <t xml:space="preserve"> 비용(EXPENSES)</t>
    <phoneticPr fontId="20" type="noConversion"/>
  </si>
  <si>
    <t>AMC 수수료</t>
    <phoneticPr fontId="8" type="noConversion"/>
  </si>
  <si>
    <t>자산보관</t>
    <phoneticPr fontId="8" type="noConversion"/>
  </si>
  <si>
    <t>사무수탁</t>
    <phoneticPr fontId="8" type="noConversion"/>
  </si>
  <si>
    <t>임원보수</t>
    <phoneticPr fontId="8" type="noConversion"/>
  </si>
  <si>
    <t>간주임대료부가세</t>
    <phoneticPr fontId="8" type="noConversion"/>
  </si>
  <si>
    <t>감가상각비</t>
    <phoneticPr fontId="8" type="noConversion"/>
  </si>
  <si>
    <t>PM수수료</t>
    <phoneticPr fontId="8" type="noConversion"/>
  </si>
  <si>
    <t>기타관리비</t>
    <phoneticPr fontId="6" type="noConversion"/>
  </si>
  <si>
    <t>FM수수료-2</t>
    <phoneticPr fontId="31" type="noConversion"/>
  </si>
  <si>
    <t>재산세</t>
    <phoneticPr fontId="8" type="noConversion"/>
  </si>
  <si>
    <t>NOI</t>
    <phoneticPr fontId="8" type="noConversion"/>
  </si>
  <si>
    <t>기타</t>
    <phoneticPr fontId="20" type="noConversion"/>
  </si>
  <si>
    <t>CASHFLOW</t>
    <phoneticPr fontId="20" type="noConversion"/>
  </si>
  <si>
    <t>2024년</t>
    <phoneticPr fontId="6" type="noConversion"/>
  </si>
  <si>
    <t>2월</t>
    <phoneticPr fontId="31" type="noConversion"/>
  </si>
  <si>
    <t>2024년</t>
    <phoneticPr fontId="6" type="noConversion"/>
  </si>
  <si>
    <t>4월</t>
    <phoneticPr fontId="8" type="noConversion"/>
  </si>
  <si>
    <t>6월</t>
    <phoneticPr fontId="31" type="noConversion"/>
  </si>
  <si>
    <t>Income</t>
    <phoneticPr fontId="20" type="noConversion"/>
  </si>
  <si>
    <t>Income</t>
    <phoneticPr fontId="20" type="noConversion"/>
  </si>
  <si>
    <t>Cash Flow</t>
    <phoneticPr fontId="20" type="noConversion"/>
  </si>
  <si>
    <t>재무상태표</t>
    <phoneticPr fontId="8" type="noConversion"/>
  </si>
  <si>
    <t>3) 손익계산서(누적)</t>
    <phoneticPr fontId="6" type="noConversion"/>
  </si>
  <si>
    <t>2) 손익계산서(월간)</t>
    <phoneticPr fontId="6" type="noConversion"/>
  </si>
  <si>
    <t>영업수익</t>
  </si>
  <si>
    <t>영업수익</t>
    <phoneticPr fontId="6" type="noConversion"/>
  </si>
  <si>
    <t>영업비용</t>
  </si>
  <si>
    <t>영업비용</t>
    <phoneticPr fontId="6" type="noConversion"/>
  </si>
  <si>
    <t>영업이익</t>
  </si>
  <si>
    <t>영업이익</t>
    <phoneticPr fontId="6" type="noConversion"/>
  </si>
  <si>
    <t>영업외수익</t>
    <phoneticPr fontId="16" type="noConversion"/>
  </si>
  <si>
    <t>영업외비용</t>
    <phoneticPr fontId="16" type="noConversion"/>
  </si>
  <si>
    <t>영업수익</t>
    <phoneticPr fontId="20" type="noConversion"/>
  </si>
  <si>
    <t>영업비용</t>
    <phoneticPr fontId="20" type="noConversion"/>
  </si>
  <si>
    <t>영업이익</t>
    <phoneticPr fontId="20" type="noConversion"/>
  </si>
  <si>
    <t>임대</t>
    <phoneticPr fontId="20" type="noConversion"/>
  </si>
  <si>
    <t>구분</t>
    <phoneticPr fontId="6" type="noConversion"/>
  </si>
  <si>
    <t>구분</t>
    <phoneticPr fontId="6" type="noConversion"/>
  </si>
  <si>
    <t>당월 요약</t>
    <phoneticPr fontId="20" type="noConversion"/>
  </si>
  <si>
    <t>당월 세부</t>
    <phoneticPr fontId="16" type="noConversion"/>
  </si>
  <si>
    <t>3-4) 예산-실적 비교</t>
    <phoneticPr fontId="16" type="noConversion"/>
  </si>
  <si>
    <t>예산</t>
    <phoneticPr fontId="16" type="noConversion"/>
  </si>
  <si>
    <t>예산</t>
    <phoneticPr fontId="16" type="noConversion"/>
  </si>
  <si>
    <t xml:space="preserve">       ① 임대, 공실 예산/실적 비교 </t>
    <phoneticPr fontId="20" type="noConversion"/>
  </si>
  <si>
    <t xml:space="preserve">       ② 수익, 비용 예산/실적 비교 - 당월, 누적 </t>
    <phoneticPr fontId="20" type="noConversion"/>
  </si>
  <si>
    <t xml:space="preserve"> 4-1) 관리 조직도</t>
    <phoneticPr fontId="20" type="noConversion"/>
  </si>
  <si>
    <t>KT estate, 맥서브</t>
    <phoneticPr fontId="8" type="noConversion"/>
  </si>
  <si>
    <t>KT estate, 맥서브</t>
    <phoneticPr fontId="8" type="noConversion"/>
  </si>
  <si>
    <t>4-2) 관리비용 세부</t>
    <phoneticPr fontId="16" type="noConversion"/>
  </si>
  <si>
    <t>(단위:원, VAT 별도)</t>
    <phoneticPr fontId="16" type="noConversion"/>
  </si>
  <si>
    <t>2024.02</t>
  </si>
  <si>
    <t>비고</t>
    <phoneticPr fontId="31" type="noConversion"/>
  </si>
  <si>
    <t>1월납부(발생시)</t>
    <phoneticPr fontId="31" type="noConversion"/>
  </si>
  <si>
    <t>7월납부</t>
    <phoneticPr fontId="31" type="noConversion"/>
  </si>
  <si>
    <t>10월납부</t>
    <phoneticPr fontId="31" type="noConversion"/>
  </si>
  <si>
    <t>비고</t>
    <phoneticPr fontId="20" type="noConversion"/>
  </si>
  <si>
    <t>소독,비데,항균기 포함</t>
    <phoneticPr fontId="31" type="noConversion"/>
  </si>
  <si>
    <t>※ 모든 표는 수식을 반드시 확인하기
   (일평균, 평당, 연도별 유심히 확인)</t>
    <phoneticPr fontId="6" type="noConversion"/>
  </si>
  <si>
    <t>♦ 전력 사용량</t>
    <phoneticPr fontId="16" type="noConversion"/>
  </si>
  <si>
    <t>(단위:kwh)</t>
    <phoneticPr fontId="16" type="noConversion"/>
  </si>
  <si>
    <t>구분</t>
    <phoneticPr fontId="16" type="noConversion"/>
  </si>
  <si>
    <t>1월</t>
    <phoneticPr fontId="16" type="noConversion"/>
  </si>
  <si>
    <t>고지서-전기)사용량</t>
    <phoneticPr fontId="8" type="noConversion"/>
  </si>
  <si>
    <t>일수</t>
    <phoneticPr fontId="6" type="noConversion"/>
  </si>
  <si>
    <t>1월</t>
    <phoneticPr fontId="8" type="noConversion"/>
  </si>
  <si>
    <t>누적일수</t>
    <phoneticPr fontId="6" type="noConversion"/>
  </si>
  <si>
    <t>1월</t>
    <phoneticPr fontId="8" type="noConversion"/>
  </si>
  <si>
    <t>요금</t>
    <phoneticPr fontId="6" type="noConversion"/>
  </si>
  <si>
    <t>(테크노마트에서 제공해주는 프린트) 관리비 특이 사항 참조</t>
    <phoneticPr fontId="8" type="noConversion"/>
  </si>
  <si>
    <t>♦ 상하수도 사용량(사무동 전용부 限)</t>
    <phoneticPr fontId="16" type="noConversion"/>
  </si>
  <si>
    <t xml:space="preserve">단위(㎥) </t>
    <phoneticPr fontId="16" type="noConversion"/>
  </si>
  <si>
    <t>구분</t>
    <phoneticPr fontId="16" type="noConversion"/>
  </si>
  <si>
    <t>1월</t>
    <phoneticPr fontId="16" type="noConversion"/>
  </si>
  <si>
    <t>계</t>
    <phoneticPr fontId="16" type="noConversion"/>
  </si>
  <si>
    <t>수도사용량 리스트</t>
    <phoneticPr fontId="8" type="noConversion"/>
  </si>
  <si>
    <t>♦ 상하수도 사용 요금(사무동 전용부 限)</t>
    <phoneticPr fontId="16" type="noConversion"/>
  </si>
  <si>
    <t>[단위 :원]</t>
    <phoneticPr fontId="16" type="noConversion"/>
  </si>
  <si>
    <t>고지서-수도)전용</t>
    <phoneticPr fontId="8" type="noConversion"/>
  </si>
  <si>
    <t>증감율</t>
    <phoneticPr fontId="6" type="noConversion"/>
  </si>
  <si>
    <t>사용량</t>
    <phoneticPr fontId="6" type="noConversion"/>
  </si>
  <si>
    <t>사용요금</t>
    <phoneticPr fontId="6" type="noConversion"/>
  </si>
  <si>
    <t>♦ 도시가스 사용량</t>
    <phoneticPr fontId="16" type="noConversion"/>
  </si>
  <si>
    <t xml:space="preserve">단위(㎥) </t>
    <phoneticPr fontId="16" type="noConversion"/>
  </si>
  <si>
    <t>[단위 : 원, VAT별도]</t>
    <phoneticPr fontId="16" type="noConversion"/>
  </si>
  <si>
    <t>고지서-가스)공용</t>
    <phoneticPr fontId="8" type="noConversion"/>
  </si>
  <si>
    <t xml:space="preserve"> </t>
    <phoneticPr fontId="8" type="noConversion"/>
  </si>
  <si>
    <t>증감율</t>
    <phoneticPr fontId="6" type="noConversion"/>
  </si>
  <si>
    <t>1월</t>
    <phoneticPr fontId="8" type="noConversion"/>
  </si>
  <si>
    <t>사용량</t>
    <phoneticPr fontId="6" type="noConversion"/>
  </si>
  <si>
    <t>사용요금</t>
    <phoneticPr fontId="6" type="noConversion"/>
  </si>
  <si>
    <t>1EA</t>
    <phoneticPr fontId="6" type="noConversion"/>
  </si>
  <si>
    <t xml:space="preserve"> ♦ 임차인 요청 항목별 내역</t>
    <phoneticPr fontId="20" type="noConversion"/>
  </si>
  <si>
    <t>◀날짜 확인</t>
    <phoneticPr fontId="6" type="noConversion"/>
  </si>
  <si>
    <t>요청내역</t>
    <phoneticPr fontId="20" type="noConversion"/>
  </si>
  <si>
    <t>냉난방/공조</t>
    <phoneticPr fontId="20" type="noConversion"/>
  </si>
  <si>
    <t>40F</t>
    <phoneticPr fontId="8" type="noConversion"/>
  </si>
  <si>
    <t>39F</t>
    <phoneticPr fontId="8" type="noConversion"/>
  </si>
  <si>
    <t>38F</t>
    <phoneticPr fontId="8" type="noConversion"/>
  </si>
  <si>
    <t>37F</t>
    <phoneticPr fontId="8" type="noConversion"/>
  </si>
  <si>
    <t>36F</t>
    <phoneticPr fontId="8" type="noConversion"/>
  </si>
  <si>
    <t>35F</t>
    <phoneticPr fontId="8" type="noConversion"/>
  </si>
  <si>
    <t>34F</t>
    <phoneticPr fontId="8" type="noConversion"/>
  </si>
  <si>
    <t>33F</t>
    <phoneticPr fontId="8" type="noConversion"/>
  </si>
  <si>
    <t>32F</t>
    <phoneticPr fontId="8" type="noConversion"/>
  </si>
  <si>
    <t>31F</t>
    <phoneticPr fontId="8" type="noConversion"/>
  </si>
  <si>
    <t>30F</t>
    <phoneticPr fontId="8" type="noConversion"/>
  </si>
  <si>
    <t>29F</t>
    <phoneticPr fontId="8" type="noConversion"/>
  </si>
  <si>
    <t>28F</t>
    <phoneticPr fontId="8" type="noConversion"/>
  </si>
  <si>
    <t>27F</t>
    <phoneticPr fontId="8" type="noConversion"/>
  </si>
  <si>
    <t>26F</t>
    <phoneticPr fontId="8" type="noConversion"/>
  </si>
  <si>
    <t>25F</t>
    <phoneticPr fontId="8" type="noConversion"/>
  </si>
  <si>
    <t>24F</t>
    <phoneticPr fontId="8" type="noConversion"/>
  </si>
  <si>
    <t>23F</t>
    <phoneticPr fontId="8" type="noConversion"/>
  </si>
  <si>
    <t>22F</t>
    <phoneticPr fontId="8" type="noConversion"/>
  </si>
  <si>
    <t>21F</t>
    <phoneticPr fontId="8" type="noConversion"/>
  </si>
  <si>
    <t>20F</t>
    <phoneticPr fontId="8" type="noConversion"/>
  </si>
  <si>
    <t>19F</t>
    <phoneticPr fontId="8" type="noConversion"/>
  </si>
  <si>
    <t>18F</t>
    <phoneticPr fontId="8" type="noConversion"/>
  </si>
  <si>
    <t>17F</t>
    <phoneticPr fontId="8" type="noConversion"/>
  </si>
  <si>
    <t>16F</t>
    <phoneticPr fontId="8" type="noConversion"/>
  </si>
  <si>
    <t>15F</t>
    <phoneticPr fontId="8" type="noConversion"/>
  </si>
  <si>
    <t>14F</t>
    <phoneticPr fontId="8" type="noConversion"/>
  </si>
  <si>
    <t>13F</t>
    <phoneticPr fontId="8" type="noConversion"/>
  </si>
  <si>
    <t>11F</t>
    <phoneticPr fontId="8" type="noConversion"/>
  </si>
  <si>
    <t>10F</t>
    <phoneticPr fontId="8" type="noConversion"/>
  </si>
  <si>
    <t>9F</t>
    <phoneticPr fontId="8" type="noConversion"/>
  </si>
  <si>
    <t>8F</t>
    <phoneticPr fontId="8" type="noConversion"/>
  </si>
  <si>
    <t>6F</t>
    <phoneticPr fontId="8" type="noConversion"/>
  </si>
  <si>
    <t>5F</t>
    <phoneticPr fontId="8" type="noConversion"/>
  </si>
  <si>
    <t>4F</t>
    <phoneticPr fontId="8" type="noConversion"/>
  </si>
  <si>
    <t>3F</t>
    <phoneticPr fontId="8" type="noConversion"/>
  </si>
  <si>
    <t>2F</t>
    <phoneticPr fontId="8" type="noConversion"/>
  </si>
  <si>
    <t>1F</t>
    <phoneticPr fontId="8" type="noConversion"/>
  </si>
  <si>
    <t>B1~7F</t>
    <phoneticPr fontId="8" type="noConversion"/>
  </si>
  <si>
    <t>층별 임차인 주요 요청 서비스 내역</t>
    <phoneticPr fontId="20" type="noConversion"/>
  </si>
  <si>
    <t>Type</t>
    <phoneticPr fontId="20" type="noConversion"/>
  </si>
  <si>
    <t>1. 질권계좌 내역</t>
    <phoneticPr fontId="31" type="noConversion"/>
  </si>
  <si>
    <t>(단위: 원)</t>
    <phoneticPr fontId="31" type="noConversion"/>
  </si>
  <si>
    <t>임차인</t>
    <phoneticPr fontId="31" type="noConversion"/>
  </si>
  <si>
    <t>계좌관련</t>
    <phoneticPr fontId="20" type="noConversion"/>
  </si>
  <si>
    <t>계약기간
(일)</t>
    <phoneticPr fontId="31" type="noConversion"/>
  </si>
  <si>
    <t>금융기관</t>
    <phoneticPr fontId="20" type="noConversion"/>
  </si>
  <si>
    <t>계좌번호</t>
    <phoneticPr fontId="20" type="noConversion"/>
  </si>
  <si>
    <t>계좌명</t>
    <phoneticPr fontId="20" type="noConversion"/>
  </si>
  <si>
    <t>예금잔고</t>
    <phoneticPr fontId="20" type="noConversion"/>
  </si>
  <si>
    <t>금리</t>
    <phoneticPr fontId="20" type="noConversion"/>
  </si>
  <si>
    <t>질권금액 변동</t>
    <phoneticPr fontId="31" type="noConversion"/>
  </si>
  <si>
    <t>개설일</t>
    <phoneticPr fontId="20" type="noConversion"/>
  </si>
  <si>
    <t>만기/해지</t>
    <phoneticPr fontId="20" type="noConversion"/>
  </si>
  <si>
    <t>19.05.09</t>
    <phoneticPr fontId="31" type="noConversion"/>
  </si>
  <si>
    <t>19.05.10</t>
    <phoneticPr fontId="31" type="noConversion"/>
  </si>
  <si>
    <t>19.05.11</t>
    <phoneticPr fontId="31" type="noConversion"/>
  </si>
  <si>
    <t>19.05.14</t>
    <phoneticPr fontId="31" type="noConversion"/>
  </si>
  <si>
    <t>19.05.16</t>
    <phoneticPr fontId="31" type="noConversion"/>
  </si>
  <si>
    <t>19.07.04</t>
    <phoneticPr fontId="31" type="noConversion"/>
  </si>
  <si>
    <t>19.10.02</t>
    <phoneticPr fontId="31" type="noConversion"/>
  </si>
  <si>
    <t>19.12.10</t>
    <phoneticPr fontId="31" type="noConversion"/>
  </si>
  <si>
    <t>19.12.12</t>
    <phoneticPr fontId="31" type="noConversion"/>
  </si>
  <si>
    <t>19.12.13</t>
    <phoneticPr fontId="31" type="noConversion"/>
  </si>
  <si>
    <t>19.12.14</t>
    <phoneticPr fontId="31" type="noConversion"/>
  </si>
  <si>
    <t>19.12.28</t>
    <phoneticPr fontId="31" type="noConversion"/>
  </si>
  <si>
    <t>20.01.02</t>
    <phoneticPr fontId="31" type="noConversion"/>
  </si>
  <si>
    <t>20.01.29</t>
    <phoneticPr fontId="31" type="noConversion"/>
  </si>
  <si>
    <t>20.02.20</t>
    <phoneticPr fontId="31" type="noConversion"/>
  </si>
  <si>
    <t>20.03.08</t>
    <phoneticPr fontId="31" type="noConversion"/>
  </si>
  <si>
    <t>20.04.01</t>
    <phoneticPr fontId="31" type="noConversion"/>
  </si>
  <si>
    <t>20.04.09</t>
    <phoneticPr fontId="31" type="noConversion"/>
  </si>
  <si>
    <t>20.04.26</t>
    <phoneticPr fontId="31" type="noConversion"/>
  </si>
  <si>
    <t>20.05.09</t>
    <phoneticPr fontId="31" type="noConversion"/>
  </si>
  <si>
    <t>20.05.10</t>
    <phoneticPr fontId="31" type="noConversion"/>
  </si>
  <si>
    <t>20.05.13</t>
    <phoneticPr fontId="31" type="noConversion"/>
  </si>
  <si>
    <t>20.05.16</t>
    <phoneticPr fontId="31" type="noConversion"/>
  </si>
  <si>
    <t>20.06.24</t>
    <phoneticPr fontId="31" type="noConversion"/>
  </si>
  <si>
    <t>20.07.04</t>
    <phoneticPr fontId="31" type="noConversion"/>
  </si>
  <si>
    <t>20.08.19</t>
    <phoneticPr fontId="31" type="noConversion"/>
  </si>
  <si>
    <t>20.10.02</t>
    <phoneticPr fontId="31" type="noConversion"/>
  </si>
  <si>
    <t>20.12.10</t>
    <phoneticPr fontId="31" type="noConversion"/>
  </si>
  <si>
    <t>20.12.12</t>
    <phoneticPr fontId="31" type="noConversion"/>
  </si>
  <si>
    <t>20.12.13</t>
    <phoneticPr fontId="31" type="noConversion"/>
  </si>
  <si>
    <t>20.12.14</t>
    <phoneticPr fontId="31" type="noConversion"/>
  </si>
  <si>
    <t>20.12.28</t>
    <phoneticPr fontId="31" type="noConversion"/>
  </si>
  <si>
    <t>21.01.02</t>
    <phoneticPr fontId="31" type="noConversion"/>
  </si>
  <si>
    <t>21.01.29</t>
    <phoneticPr fontId="31" type="noConversion"/>
  </si>
  <si>
    <t>21.02.20</t>
    <phoneticPr fontId="31" type="noConversion"/>
  </si>
  <si>
    <t>21.04.01</t>
    <phoneticPr fontId="31" type="noConversion"/>
  </si>
  <si>
    <t>21.04.09</t>
    <phoneticPr fontId="31" type="noConversion"/>
  </si>
  <si>
    <t>21.04.26</t>
    <phoneticPr fontId="31" type="noConversion"/>
  </si>
  <si>
    <t>21.05.09</t>
    <phoneticPr fontId="31" type="noConversion"/>
  </si>
  <si>
    <t>21.05.10</t>
    <phoneticPr fontId="31" type="noConversion"/>
  </si>
  <si>
    <t>21.05.11</t>
    <phoneticPr fontId="31" type="noConversion"/>
  </si>
  <si>
    <t>21.05.13</t>
    <phoneticPr fontId="31" type="noConversion"/>
  </si>
  <si>
    <t>21.05.14</t>
    <phoneticPr fontId="31" type="noConversion"/>
  </si>
  <si>
    <t>21.05.16</t>
    <phoneticPr fontId="31" type="noConversion"/>
  </si>
  <si>
    <t>21.06.24</t>
    <phoneticPr fontId="31" type="noConversion"/>
  </si>
  <si>
    <t>21.07.04</t>
    <phoneticPr fontId="31" type="noConversion"/>
  </si>
  <si>
    <t>21.07.08</t>
    <phoneticPr fontId="31" type="noConversion"/>
  </si>
  <si>
    <t>21.07.31</t>
    <phoneticPr fontId="31" type="noConversion"/>
  </si>
  <si>
    <t>21.08.19</t>
    <phoneticPr fontId="31" type="noConversion"/>
  </si>
  <si>
    <t>기존잔액↓</t>
    <phoneticPr fontId="31" type="noConversion"/>
  </si>
  <si>
    <t>반환 금액↓</t>
    <phoneticPr fontId="31" type="noConversion"/>
  </si>
  <si>
    <t>현재잔액↓</t>
    <phoneticPr fontId="31" type="noConversion"/>
  </si>
  <si>
    <t>25,32,33</t>
    <phoneticPr fontId="31" type="noConversion"/>
  </si>
  <si>
    <t>삼성카드고객서비스</t>
    <phoneticPr fontId="31" type="noConversion"/>
  </si>
  <si>
    <t>신한은행</t>
    <phoneticPr fontId="31" type="noConversion"/>
  </si>
  <si>
    <t>200-432-006416</t>
    <phoneticPr fontId="31" type="noConversion"/>
  </si>
  <si>
    <t>감액</t>
    <phoneticPr fontId="31" type="noConversion"/>
  </si>
  <si>
    <t>O</t>
    <phoneticPr fontId="31" type="noConversion"/>
  </si>
  <si>
    <t>삼성카드고객서비스 보증금 질권설정계좌</t>
    <phoneticPr fontId="31" type="noConversion"/>
  </si>
  <si>
    <t>자동재예치</t>
    <phoneticPr fontId="31" type="noConversion"/>
  </si>
  <si>
    <t>관리비 계좌에서_보증금 일부 반환</t>
    <phoneticPr fontId="31" type="noConversion"/>
  </si>
  <si>
    <t>한국쯔바키모토</t>
    <phoneticPr fontId="31" type="noConversion"/>
  </si>
  <si>
    <t>200-541-866460</t>
    <phoneticPr fontId="31" type="noConversion"/>
  </si>
  <si>
    <t>신규</t>
    <phoneticPr fontId="31" type="noConversion"/>
  </si>
  <si>
    <t>한국쯔바키모토 질권설정 계좌</t>
    <phoneticPr fontId="31" type="noConversion"/>
  </si>
  <si>
    <t>KB손해보험</t>
    <phoneticPr fontId="31" type="noConversion"/>
  </si>
  <si>
    <t>200-543-543210</t>
    <phoneticPr fontId="31" type="noConversion"/>
  </si>
  <si>
    <t>KB손해사정 질권설정계좌(9F-3)</t>
    <phoneticPr fontId="31" type="noConversion"/>
  </si>
  <si>
    <t>롯데카드㈜</t>
    <phoneticPr fontId="31" type="noConversion"/>
  </si>
  <si>
    <t>200-546-143366</t>
    <phoneticPr fontId="31" type="noConversion"/>
  </si>
  <si>
    <t>롯데카드 보증금 질권설정계좌 (32F-3)</t>
    <phoneticPr fontId="31" type="noConversion"/>
  </si>
  <si>
    <t>2024.04.05 계약해지로 질권설정 해지</t>
    <phoneticPr fontId="31" type="noConversion"/>
  </si>
  <si>
    <t>콘센트릭스서비스코리아</t>
    <phoneticPr fontId="31" type="noConversion"/>
  </si>
  <si>
    <t>200-548-215775</t>
    <phoneticPr fontId="31" type="noConversion"/>
  </si>
  <si>
    <t>콘센트릭스서비스코리아 질권설정계좌_증평 (F6-2)</t>
    <phoneticPr fontId="31" type="noConversion"/>
  </si>
  <si>
    <t>200-552-244750</t>
    <phoneticPr fontId="31" type="noConversion"/>
  </si>
  <si>
    <t>증액</t>
    <phoneticPr fontId="31" type="noConversion"/>
  </si>
  <si>
    <t>만기</t>
    <phoneticPr fontId="31" type="noConversion"/>
  </si>
  <si>
    <t>200-442-193960</t>
    <phoneticPr fontId="31" type="noConversion"/>
  </si>
  <si>
    <t>KB손해사정 질권설정계좌(8F-3)</t>
    <phoneticPr fontId="31" type="noConversion"/>
  </si>
  <si>
    <t>2023.08.01 (KB손해사정-&gt;KB손해보험) 임차 승계</t>
    <phoneticPr fontId="31" type="noConversion"/>
  </si>
  <si>
    <t>22,23</t>
    <phoneticPr fontId="31" type="noConversion"/>
  </si>
  <si>
    <t>KIS정보통신</t>
    <phoneticPr fontId="31" type="noConversion"/>
  </si>
  <si>
    <t>200-442-503510</t>
    <phoneticPr fontId="31" type="noConversion"/>
  </si>
  <si>
    <t>KIS정보통신 보증금 질권설정계좌</t>
    <phoneticPr fontId="31" type="noConversion"/>
  </si>
  <si>
    <t>엘지유플러스</t>
    <phoneticPr fontId="31" type="noConversion"/>
  </si>
  <si>
    <t>200-442-625610</t>
    <phoneticPr fontId="31" type="noConversion"/>
  </si>
  <si>
    <t>엘지유플러스 보증금 질권설정계좌</t>
    <phoneticPr fontId="31" type="noConversion"/>
  </si>
  <si>
    <t>엘비휴넷</t>
    <phoneticPr fontId="31" type="noConversion"/>
  </si>
  <si>
    <t>200-442-623998</t>
    <phoneticPr fontId="31" type="noConversion"/>
  </si>
  <si>
    <t>엘비휴넷 보증금 질권설정계좌(4F)</t>
    <phoneticPr fontId="20" type="noConversion"/>
  </si>
  <si>
    <t>2023.03.17  관리비 계좌에서_보증금 일부 반환</t>
    <phoneticPr fontId="31" type="noConversion"/>
  </si>
  <si>
    <t>200-445-019743</t>
    <phoneticPr fontId="31" type="noConversion"/>
  </si>
  <si>
    <t>롯데카드 보증금 질권설정계좌 (32F-2)</t>
    <phoneticPr fontId="31" type="noConversion"/>
  </si>
  <si>
    <t>삼성카드</t>
    <phoneticPr fontId="31" type="noConversion"/>
  </si>
  <si>
    <t>200-446-272070</t>
    <phoneticPr fontId="31" type="noConversion"/>
  </si>
  <si>
    <t>삼성카드 보증금 질권설정계좌(12F)</t>
    <phoneticPr fontId="31" type="noConversion"/>
  </si>
  <si>
    <t>34~37</t>
    <phoneticPr fontId="31" type="noConversion"/>
  </si>
  <si>
    <t>200-446-196770</t>
    <phoneticPr fontId="31" type="noConversion"/>
  </si>
  <si>
    <t>삼성카드 보증금 질권설정계좌(34~37F)</t>
    <phoneticPr fontId="31" type="noConversion"/>
  </si>
  <si>
    <t>200-446-240748</t>
    <phoneticPr fontId="31" type="noConversion"/>
  </si>
  <si>
    <t>삼성카드 보증금 질권설정계좌(13F-1)</t>
    <phoneticPr fontId="31" type="noConversion"/>
  </si>
  <si>
    <t>200-613-448104</t>
    <phoneticPr fontId="31" type="noConversion"/>
  </si>
  <si>
    <t>X</t>
    <phoneticPr fontId="31" type="noConversion"/>
  </si>
  <si>
    <t>삼성카드 보증금 질권설정계좌(33F-2)</t>
    <phoneticPr fontId="31" type="noConversion"/>
  </si>
  <si>
    <t>삼성카드</t>
    <phoneticPr fontId="20" type="noConversion"/>
  </si>
  <si>
    <t>200-613-467866</t>
    <phoneticPr fontId="31" type="noConversion"/>
  </si>
  <si>
    <t>삼성카드(증평) 보증금 질권성정계좌(13F-2)</t>
    <phoneticPr fontId="20" type="noConversion"/>
  </si>
  <si>
    <t>28~40</t>
    <phoneticPr fontId="31" type="noConversion"/>
  </si>
  <si>
    <t>200-446-576840</t>
    <phoneticPr fontId="31" type="noConversion"/>
  </si>
  <si>
    <t>200-557-960304</t>
    <phoneticPr fontId="31" type="noConversion"/>
  </si>
  <si>
    <t>웨스트레이크코리아</t>
    <phoneticPr fontId="31" type="noConversion"/>
  </si>
  <si>
    <t>200-450-372074</t>
    <phoneticPr fontId="31" type="noConversion"/>
  </si>
  <si>
    <t>웨스트레이크모리아(구,헥시온)보증금 질권설정계좌 (33F)</t>
    <phoneticPr fontId="31" type="noConversion"/>
  </si>
  <si>
    <t>2023.04.07  관리비 계좌에서_보증금 일부 반환</t>
    <phoneticPr fontId="31" type="noConversion"/>
  </si>
  <si>
    <t>롯데손해보험㈜</t>
    <phoneticPr fontId="31" type="noConversion"/>
  </si>
  <si>
    <t>200-625-125972</t>
    <phoneticPr fontId="31" type="noConversion"/>
  </si>
  <si>
    <t>롯데손해보험 보증금 질권설정계좌 (11F)</t>
    <phoneticPr fontId="31" type="noConversion"/>
  </si>
  <si>
    <t>신한금융플러스</t>
    <phoneticPr fontId="31" type="noConversion"/>
  </si>
  <si>
    <t>200-565-560205</t>
    <phoneticPr fontId="31" type="noConversion"/>
  </si>
  <si>
    <t>신한디에스 보증금 질권설정계좌</t>
    <phoneticPr fontId="31" type="noConversion"/>
  </si>
  <si>
    <t>생명보험협회</t>
    <phoneticPr fontId="31" type="noConversion"/>
  </si>
  <si>
    <t>200-565-728998</t>
    <phoneticPr fontId="31" type="noConversion"/>
  </si>
  <si>
    <t>생명보험협회(9층) 보증금 질권설정계좌</t>
    <phoneticPr fontId="31" type="noConversion"/>
  </si>
  <si>
    <t>한화손해보험</t>
    <phoneticPr fontId="31" type="noConversion"/>
  </si>
  <si>
    <t>200-507-729917</t>
    <phoneticPr fontId="31" type="noConversion"/>
  </si>
  <si>
    <t>한화손해보험 보증금 질권설정계좌 (23F)</t>
    <phoneticPr fontId="31" type="noConversion"/>
  </si>
  <si>
    <t>5,7</t>
    <phoneticPr fontId="20" type="noConversion"/>
  </si>
  <si>
    <t>DB손해보험</t>
    <phoneticPr fontId="31" type="noConversion"/>
  </si>
  <si>
    <t>200-460-171517</t>
    <phoneticPr fontId="31" type="noConversion"/>
  </si>
  <si>
    <t>DB손해보험 질권설정계좌 (F5,F7)</t>
    <phoneticPr fontId="31" type="noConversion"/>
  </si>
  <si>
    <t>200-627-132530</t>
    <phoneticPr fontId="31" type="noConversion"/>
  </si>
  <si>
    <t>DB손해보험 질권설정계좌 (F7)</t>
    <phoneticPr fontId="31" type="noConversion"/>
  </si>
  <si>
    <t>200-573-974432</t>
    <phoneticPr fontId="31" type="noConversion"/>
  </si>
  <si>
    <t>콘센트릭스서비스코리아 질권설정계좌(24F)</t>
    <phoneticPr fontId="31" type="noConversion"/>
  </si>
  <si>
    <t>200-406-504113</t>
    <phoneticPr fontId="31" type="noConversion"/>
  </si>
  <si>
    <t>200-406-502540</t>
    <phoneticPr fontId="31" type="noConversion"/>
  </si>
  <si>
    <t>200-406-503748</t>
    <phoneticPr fontId="31" type="noConversion"/>
  </si>
  <si>
    <t>200-406-502774</t>
    <phoneticPr fontId="31" type="noConversion"/>
  </si>
  <si>
    <t>200-406-665166</t>
    <phoneticPr fontId="31" type="noConversion"/>
  </si>
  <si>
    <t>삼성화재</t>
    <phoneticPr fontId="31" type="noConversion"/>
  </si>
  <si>
    <t>200-465-569806</t>
    <phoneticPr fontId="31" type="noConversion"/>
  </si>
  <si>
    <t>삼성화재 질권설정계좌(24층)</t>
    <phoneticPr fontId="20" type="noConversion"/>
  </si>
  <si>
    <t>200-406-828130</t>
    <phoneticPr fontId="31" type="noConversion"/>
  </si>
  <si>
    <t>200-406-828511</t>
    <phoneticPr fontId="31" type="noConversion"/>
  </si>
  <si>
    <t>200-406-829200</t>
    <phoneticPr fontId="31" type="noConversion"/>
  </si>
  <si>
    <t>2023.02.03  관리비 계좌에서_보증금 일부 반환</t>
    <phoneticPr fontId="31" type="noConversion"/>
  </si>
  <si>
    <t>4,18</t>
    <phoneticPr fontId="20" type="noConversion"/>
  </si>
  <si>
    <t>200-406-829719</t>
    <phoneticPr fontId="31" type="noConversion"/>
  </si>
  <si>
    <t>엘비휴넷 보증금 질권설정계좌(4F,18F)</t>
    <phoneticPr fontId="20" type="noConversion"/>
  </si>
  <si>
    <t>우리은행</t>
    <phoneticPr fontId="31" type="noConversion"/>
  </si>
  <si>
    <t>1020-343-025246</t>
    <phoneticPr fontId="31" type="noConversion"/>
  </si>
  <si>
    <t>우리카드</t>
    <phoneticPr fontId="31" type="noConversion"/>
  </si>
  <si>
    <t>1020-743-027652</t>
    <phoneticPr fontId="31" type="noConversion"/>
  </si>
  <si>
    <t>우리카드 보증금 질권설정계좌</t>
    <phoneticPr fontId="20" type="noConversion"/>
  </si>
  <si>
    <t>1020-743-015300</t>
    <phoneticPr fontId="31" type="noConversion"/>
  </si>
  <si>
    <t>우리카드 보증금 질권설정계좌(28F-2)</t>
    <phoneticPr fontId="20" type="noConversion"/>
  </si>
  <si>
    <t>200-604-837264</t>
    <phoneticPr fontId="31" type="noConversion"/>
  </si>
  <si>
    <t>우리카드 보증금 질권설정계좌(28F-3)</t>
    <phoneticPr fontId="31" type="noConversion"/>
  </si>
  <si>
    <t>200-465-980190</t>
    <phoneticPr fontId="31" type="noConversion"/>
  </si>
  <si>
    <t>한화손보 보증금 질권설정계좌(19F-3)</t>
    <phoneticPr fontId="31" type="noConversion"/>
  </si>
  <si>
    <t>200-465-980790</t>
    <phoneticPr fontId="31" type="noConversion"/>
  </si>
  <si>
    <t>한화손보 질권설정계좌(19F-4)</t>
    <phoneticPr fontId="20" type="noConversion"/>
  </si>
  <si>
    <t>200-465-981215</t>
    <phoneticPr fontId="31" type="noConversion"/>
  </si>
  <si>
    <t>한화손보 보증금 질권설정계좌 (19F-1)</t>
    <phoneticPr fontId="20" type="noConversion"/>
  </si>
  <si>
    <t>200-465-981877</t>
    <phoneticPr fontId="31" type="noConversion"/>
  </si>
  <si>
    <t>한화손보 질권설정계좌(7F-3)</t>
    <phoneticPr fontId="20" type="noConversion"/>
  </si>
  <si>
    <t>25,26,27</t>
    <phoneticPr fontId="31" type="noConversion"/>
  </si>
  <si>
    <t>교보생명</t>
    <phoneticPr fontId="31" type="noConversion"/>
  </si>
  <si>
    <t>200-579-413267</t>
    <phoneticPr fontId="31" type="noConversion"/>
  </si>
  <si>
    <t>교보생명 보증금 질권설정계좌(25F,26F,27F)</t>
    <phoneticPr fontId="31" type="noConversion"/>
  </si>
  <si>
    <t>200-579-403391</t>
    <phoneticPr fontId="31" type="noConversion"/>
  </si>
  <si>
    <t>교보생명 보증금 질권설정계좌</t>
    <phoneticPr fontId="31" type="noConversion"/>
  </si>
  <si>
    <t>200-466-187535</t>
    <phoneticPr fontId="31" type="noConversion"/>
  </si>
  <si>
    <t>메리츠화재</t>
    <phoneticPr fontId="31" type="noConversion"/>
  </si>
  <si>
    <t>메리츠화재 보증금 질권설정계좌(19F-5)</t>
    <phoneticPr fontId="31" type="noConversion"/>
  </si>
  <si>
    <t>한화생명</t>
    <phoneticPr fontId="31" type="noConversion"/>
  </si>
  <si>
    <t>200-582-129050</t>
    <phoneticPr fontId="31" type="noConversion"/>
  </si>
  <si>
    <t>한화생명 보증금 질권설정계좌</t>
    <phoneticPr fontId="31" type="noConversion"/>
  </si>
  <si>
    <t>한화생명금융서비스</t>
    <phoneticPr fontId="31" type="noConversion"/>
  </si>
  <si>
    <t>200-582-128565</t>
    <phoneticPr fontId="31" type="noConversion"/>
  </si>
  <si>
    <t>국민건강보험공단</t>
    <phoneticPr fontId="31" type="noConversion"/>
  </si>
  <si>
    <t>200-471-559726</t>
    <phoneticPr fontId="31" type="noConversion"/>
  </si>
  <si>
    <t>국민건강보험공단 질권설정계좌 (F3)</t>
    <phoneticPr fontId="31" type="noConversion"/>
  </si>
  <si>
    <t>200-417-064070</t>
    <phoneticPr fontId="31" type="noConversion"/>
  </si>
  <si>
    <t>국민건강보험공단 보증금 질권설정계좌(3F-2)</t>
    <phoneticPr fontId="31" type="noConversion"/>
  </si>
  <si>
    <t>한화라이프랩</t>
    <phoneticPr fontId="31" type="noConversion"/>
  </si>
  <si>
    <t>200-587-435900</t>
    <phoneticPr fontId="31" type="noConversion"/>
  </si>
  <si>
    <t>한화라이프에셋 질권설정 계좌</t>
    <phoneticPr fontId="31" type="noConversion"/>
  </si>
  <si>
    <t>미래에셋생명</t>
    <phoneticPr fontId="31" type="noConversion"/>
  </si>
  <si>
    <t>200-532-933907</t>
    <phoneticPr fontId="31" type="noConversion"/>
  </si>
  <si>
    <t>미래에셋생명 보증금 질권설정계좌</t>
    <phoneticPr fontId="31" type="noConversion"/>
  </si>
  <si>
    <t>200-592-969914</t>
    <phoneticPr fontId="31" type="noConversion"/>
  </si>
  <si>
    <t>콘센트릭스서비스코리아 질권설정계좌(24F)증평</t>
    <phoneticPr fontId="31" type="noConversion"/>
  </si>
  <si>
    <t>200-479-212080</t>
    <phoneticPr fontId="31" type="noConversion"/>
  </si>
  <si>
    <t>콘센트릭스서비스코리아 질권설정계좌 (F6-1)</t>
    <phoneticPr fontId="31" type="noConversion"/>
  </si>
  <si>
    <t>삼성카드고객서비스 보증금 질권설정계좌(25F)</t>
    <phoneticPr fontId="31" type="noConversion"/>
  </si>
  <si>
    <t>삼성화재해상보험</t>
    <phoneticPr fontId="31" type="noConversion"/>
  </si>
  <si>
    <t>200-702-942622</t>
    <phoneticPr fontId="31" type="noConversion"/>
  </si>
  <si>
    <t>삼성카드고객서비스 보증금 질권설정계좌(9F)</t>
    <phoneticPr fontId="31" type="noConversion"/>
  </si>
  <si>
    <t>200-718-200241</t>
    <phoneticPr fontId="31" type="noConversion"/>
  </si>
  <si>
    <t>KB손해사정 질권설정계좌(8F-4)</t>
    <phoneticPr fontId="31" type="noConversion"/>
  </si>
  <si>
    <t>*자동재예치 대상 질권은 따로 갱신 절차 없이 신규일로부터 60개월동안 자동으로 재예치</t>
    <phoneticPr fontId="31" type="noConversion"/>
  </si>
  <si>
    <t>한화손해보험 질권설정계좌(8F-2)</t>
    <phoneticPr fontId="31" type="noConversion"/>
  </si>
  <si>
    <t>200-924-244976</t>
    <phoneticPr fontId="31" type="noConversion"/>
  </si>
  <si>
    <t>한화손해보험 질권설정계좌(33F-1)</t>
    <phoneticPr fontId="31" type="noConversion"/>
  </si>
  <si>
    <t>합             계</t>
    <phoneticPr fontId="31" type="noConversion"/>
  </si>
  <si>
    <t>*자동재예치건은 질권동의신청서 작성시 변제기일을 공란으로 해둠, (만기가 언제가 될지 확정이 되지 않아서)</t>
    <phoneticPr fontId="31" type="noConversion"/>
  </si>
  <si>
    <t>※ 질권/질권외 금액 종합</t>
    <phoneticPr fontId="31" type="noConversion"/>
  </si>
  <si>
    <t>질권설정 보증금</t>
    <phoneticPr fontId="31" type="noConversion"/>
  </si>
  <si>
    <t>그 외 보증금</t>
    <phoneticPr fontId="31" type="noConversion"/>
  </si>
  <si>
    <t>보증금 합계</t>
    <phoneticPr fontId="31" type="noConversion"/>
  </si>
  <si>
    <t>2. 제소전화해 내역</t>
    <phoneticPr fontId="31" type="noConversion"/>
  </si>
  <si>
    <t>18.04.16 질권해지</t>
    <phoneticPr fontId="31" type="noConversion"/>
  </si>
  <si>
    <t>18.04.30 질권해지</t>
    <phoneticPr fontId="31" type="noConversion"/>
  </si>
  <si>
    <t>18.07.31 질권해지</t>
    <phoneticPr fontId="31" type="noConversion"/>
  </si>
  <si>
    <t>18.12.07 질권해지</t>
    <phoneticPr fontId="31" type="noConversion"/>
  </si>
  <si>
    <t>18.12.07 질권해지(일부해지)</t>
    <phoneticPr fontId="31" type="noConversion"/>
  </si>
  <si>
    <t>19.01.07 반환(질권X)</t>
    <phoneticPr fontId="20" type="noConversion"/>
  </si>
  <si>
    <t>19.02.27 질권해지</t>
    <phoneticPr fontId="31" type="noConversion"/>
  </si>
  <si>
    <t>19.03.06 질권해지</t>
    <phoneticPr fontId="31" type="noConversion"/>
  </si>
  <si>
    <t>■  연간 시설 점검 현황</t>
    <phoneticPr fontId="31" type="noConversion"/>
  </si>
  <si>
    <t>2024년 1월</t>
  </si>
  <si>
    <t>■ 장기수선충당금 납부현황</t>
    <phoneticPr fontId="31" type="noConversion"/>
  </si>
  <si>
    <t>합계</t>
    <phoneticPr fontId="31" type="noConversion"/>
  </si>
  <si>
    <t>장기수선충당금 적립액</t>
    <phoneticPr fontId="8" type="noConversion"/>
  </si>
  <si>
    <t>2018-01-17</t>
    <phoneticPr fontId="8" type="noConversion"/>
  </si>
  <si>
    <t>장기수선충당금 적립액</t>
    <phoneticPr fontId="8" type="noConversion"/>
  </si>
  <si>
    <t>장기수선충당금 적립액</t>
    <phoneticPr fontId="31" type="noConversion"/>
  </si>
  <si>
    <t>장기수선충당금 적립액</t>
    <phoneticPr fontId="31" type="noConversion"/>
  </si>
  <si>
    <t>합  계</t>
    <phoneticPr fontId="8" type="noConversion"/>
  </si>
  <si>
    <t>면적</t>
    <phoneticPr fontId="16" type="noConversion"/>
  </si>
  <si>
    <t>■ 장기수선충당금 사용내역(공사 사용)</t>
    <phoneticPr fontId="31" type="noConversion"/>
  </si>
  <si>
    <t>LED조명교체 공사비 (공용부)</t>
    <phoneticPr fontId="8" type="noConversion"/>
  </si>
  <si>
    <t>2018년 03월</t>
    <phoneticPr fontId="8" type="noConversion"/>
  </si>
  <si>
    <t>2018년 09월</t>
    <phoneticPr fontId="8" type="noConversion"/>
  </si>
  <si>
    <t>2018년 10월</t>
    <phoneticPr fontId="8" type="noConversion"/>
  </si>
  <si>
    <t>2019년 03월</t>
    <phoneticPr fontId="8" type="noConversion"/>
  </si>
  <si>
    <t>사무동 화장실 환경개선 공사비 (34~40층)</t>
    <phoneticPr fontId="8" type="noConversion"/>
  </si>
  <si>
    <t>2019년 08월</t>
    <phoneticPr fontId="8" type="noConversion"/>
  </si>
  <si>
    <t>보일러 연도케이싱 교체 공사 (1차 지급)</t>
    <phoneticPr fontId="31" type="noConversion"/>
  </si>
  <si>
    <t>2019년 09월</t>
    <phoneticPr fontId="8" type="noConversion"/>
  </si>
  <si>
    <t>냉방장비류 정비 및 보수 공사</t>
    <phoneticPr fontId="31" type="noConversion"/>
  </si>
  <si>
    <t>(단위: 원)</t>
    <phoneticPr fontId="31" type="noConversion"/>
  </si>
  <si>
    <t>잔액</t>
    <phoneticPr fontId="8" type="noConversion"/>
  </si>
  <si>
    <t>4-3) 수도광열비 분석</t>
    <phoneticPr fontId="16" type="noConversion"/>
  </si>
  <si>
    <t>4-4) 법정검사, 보수 및 CAPEX 내역</t>
    <phoneticPr fontId="16" type="noConversion"/>
  </si>
  <si>
    <t>4-5) 임차인 서비스 요청</t>
    <phoneticPr fontId="20" type="noConversion"/>
  </si>
  <si>
    <t>2) 관리비용 세부</t>
    <phoneticPr fontId="16" type="noConversion"/>
  </si>
  <si>
    <t>3. 장기수선충당금 현황</t>
    <phoneticPr fontId="6" type="noConversion"/>
  </si>
  <si>
    <t>1. 질권설정 현황</t>
    <phoneticPr fontId="6" type="noConversion"/>
  </si>
  <si>
    <t>2. 연간 시설점검계획</t>
    <phoneticPr fontId="6" type="noConversion"/>
  </si>
  <si>
    <t>[KB1 REIT] Monthly Report Summary</t>
    <phoneticPr fontId="8" type="noConversion"/>
  </si>
  <si>
    <t>리츠 개요</t>
    <phoneticPr fontId="8" type="noConversion"/>
  </si>
  <si>
    <t>자산 개요</t>
    <phoneticPr fontId="8" type="noConversion"/>
  </si>
  <si>
    <t>리츠명</t>
    <phoneticPr fontId="8" type="noConversion"/>
  </si>
  <si>
    <t>㈜KB운용제1호위탁관리부동산투자회사</t>
    <phoneticPr fontId="8" type="noConversion"/>
  </si>
  <si>
    <t>건물명</t>
    <phoneticPr fontId="8" type="noConversion"/>
  </si>
  <si>
    <t>센터포인트웨스트빌딩</t>
    <phoneticPr fontId="8" type="noConversion"/>
  </si>
  <si>
    <t>설립일</t>
    <phoneticPr fontId="8" type="noConversion"/>
  </si>
  <si>
    <t>소재지</t>
    <phoneticPr fontId="8" type="noConversion"/>
  </si>
  <si>
    <t>구로구 새말로 97</t>
    <phoneticPr fontId="8" type="noConversion"/>
  </si>
  <si>
    <t>자본재조정</t>
    <phoneticPr fontId="8" type="noConversion"/>
  </si>
  <si>
    <t>(Share deal - 유상증감자)</t>
    <phoneticPr fontId="8" type="noConversion"/>
  </si>
  <si>
    <t>용도지역</t>
    <phoneticPr fontId="8" type="noConversion"/>
  </si>
  <si>
    <t>일방상업지역</t>
    <phoneticPr fontId="8" type="noConversion"/>
  </si>
  <si>
    <t>결산기말</t>
    <phoneticPr fontId="8" type="noConversion"/>
  </si>
  <si>
    <t xml:space="preserve">매년 3월말, 9월말 </t>
    <phoneticPr fontId="8" type="noConversion"/>
  </si>
  <si>
    <t>(6개월 단위)</t>
  </si>
  <si>
    <t>연면적</t>
    <phoneticPr fontId="8" type="noConversion"/>
  </si>
  <si>
    <t>27,882평</t>
    <phoneticPr fontId="8" type="noConversion"/>
  </si>
  <si>
    <t>존속기간</t>
    <phoneticPr fontId="8" type="noConversion"/>
  </si>
  <si>
    <t>대지면적</t>
    <phoneticPr fontId="8" type="noConversion"/>
  </si>
  <si>
    <t>2,307평</t>
    <phoneticPr fontId="8" type="noConversion"/>
  </si>
  <si>
    <t>자산관리사</t>
    <phoneticPr fontId="8" type="noConversion"/>
  </si>
  <si>
    <t>KB자산운용</t>
    <phoneticPr fontId="8" type="noConversion"/>
  </si>
  <si>
    <t>용적률</t>
    <phoneticPr fontId="8" type="noConversion"/>
  </si>
  <si>
    <t>사무수탁사</t>
    <phoneticPr fontId="8" type="noConversion"/>
  </si>
  <si>
    <t>KB국민은행</t>
    <phoneticPr fontId="8" type="noConversion"/>
  </si>
  <si>
    <t>건폐율</t>
    <phoneticPr fontId="8" type="noConversion"/>
  </si>
  <si>
    <t>부동산보관사</t>
    <phoneticPr fontId="8" type="noConversion"/>
  </si>
  <si>
    <t>KB부동산신탁</t>
    <phoneticPr fontId="8" type="noConversion"/>
  </si>
  <si>
    <t>규모</t>
    <phoneticPr fontId="8" type="noConversion"/>
  </si>
  <si>
    <t>지하 7층 / 지상 40층</t>
    <phoneticPr fontId="8" type="noConversion"/>
  </si>
  <si>
    <t>현금보관사</t>
    <phoneticPr fontId="8" type="noConversion"/>
  </si>
  <si>
    <t>주차대수</t>
    <phoneticPr fontId="8" type="noConversion"/>
  </si>
  <si>
    <t>2,345대</t>
    <phoneticPr fontId="8" type="noConversion"/>
  </si>
  <si>
    <t>PM/FM사</t>
    <phoneticPr fontId="8" type="noConversion"/>
  </si>
  <si>
    <t>준공시점</t>
    <phoneticPr fontId="8" type="noConversion"/>
  </si>
  <si>
    <t>2007년 12월</t>
    <phoneticPr fontId="8" type="noConversion"/>
  </si>
  <si>
    <t>(단위: 백만원)</t>
    <phoneticPr fontId="8" type="noConversion"/>
  </si>
  <si>
    <t>T/C</t>
    <phoneticPr fontId="8" type="noConversion"/>
  </si>
  <si>
    <t>(단위: 백만원)</t>
    <phoneticPr fontId="8" type="noConversion"/>
  </si>
  <si>
    <t>자산</t>
    <phoneticPr fontId="8" type="noConversion"/>
  </si>
  <si>
    <t>부채</t>
    <phoneticPr fontId="8" type="noConversion"/>
  </si>
  <si>
    <t>구분</t>
    <phoneticPr fontId="8" type="noConversion"/>
  </si>
  <si>
    <t>대주명</t>
    <phoneticPr fontId="8" type="noConversion"/>
  </si>
  <si>
    <t>금액</t>
    <phoneticPr fontId="8" type="noConversion"/>
  </si>
  <si>
    <t>금리</t>
    <phoneticPr fontId="8" type="noConversion"/>
  </si>
  <si>
    <t xml:space="preserve">  당좌자산</t>
    <phoneticPr fontId="8" type="noConversion"/>
  </si>
  <si>
    <t xml:space="preserve">  유동부채</t>
    <phoneticPr fontId="8" type="noConversion"/>
  </si>
  <si>
    <t>고정 2.8%</t>
    <phoneticPr fontId="8" type="noConversion"/>
  </si>
  <si>
    <t>21.09.15 ~ 25.09.15</t>
    <phoneticPr fontId="8" type="noConversion"/>
  </si>
  <si>
    <t xml:space="preserve">  장기금융상품</t>
    <phoneticPr fontId="8" type="noConversion"/>
  </si>
  <si>
    <t xml:space="preserve">  임대보증금</t>
    <phoneticPr fontId="8" type="noConversion"/>
  </si>
  <si>
    <t>NH농협생명</t>
    <phoneticPr fontId="8" type="noConversion"/>
  </si>
  <si>
    <t xml:space="preserve">  토지 </t>
    <phoneticPr fontId="8" type="noConversion"/>
  </si>
  <si>
    <t xml:space="preserve">  장기차입금</t>
    <phoneticPr fontId="8" type="noConversion"/>
  </si>
  <si>
    <t>KB손해보험</t>
    <phoneticPr fontId="8" type="noConversion"/>
  </si>
  <si>
    <t xml:space="preserve">  건물</t>
    <phoneticPr fontId="8" type="noConversion"/>
  </si>
  <si>
    <t>자본</t>
    <phoneticPr fontId="8" type="noConversion"/>
  </si>
  <si>
    <t>고정 4.3%</t>
    <phoneticPr fontId="8" type="noConversion"/>
  </si>
  <si>
    <t xml:space="preserve">  감가상각누계액</t>
    <phoneticPr fontId="8" type="noConversion"/>
  </si>
  <si>
    <t xml:space="preserve">  자본금</t>
    <phoneticPr fontId="8" type="noConversion"/>
  </si>
  <si>
    <t xml:space="preserve">  기타비유동자산</t>
    <phoneticPr fontId="8" type="noConversion"/>
  </si>
  <si>
    <t xml:space="preserve">  자본잉여금</t>
    <phoneticPr fontId="8" type="noConversion"/>
  </si>
  <si>
    <t>3월, 6월, 9월, 12월 중순 이자지급</t>
    <phoneticPr fontId="8" type="noConversion"/>
  </si>
  <si>
    <t xml:space="preserve">  기타포괄손익누계액</t>
    <phoneticPr fontId="8" type="noConversion"/>
  </si>
  <si>
    <t xml:space="preserve">  이익잉여금</t>
    <phoneticPr fontId="8" type="noConversion"/>
  </si>
  <si>
    <t>DSCR</t>
    <phoneticPr fontId="8" type="noConversion"/>
  </si>
  <si>
    <t>자산총계</t>
    <phoneticPr fontId="8" type="noConversion"/>
  </si>
  <si>
    <t>부채와자본총계</t>
    <phoneticPr fontId="8" type="noConversion"/>
  </si>
  <si>
    <t>이자지급액</t>
    <phoneticPr fontId="8" type="noConversion"/>
  </si>
  <si>
    <t>DSCR</t>
    <phoneticPr fontId="8" type="noConversion"/>
  </si>
  <si>
    <t>선순위</t>
    <phoneticPr fontId="8" type="noConversion"/>
  </si>
  <si>
    <t>중순위</t>
    <phoneticPr fontId="8" type="noConversion"/>
  </si>
  <si>
    <t>영업수익</t>
    <phoneticPr fontId="8" type="noConversion"/>
  </si>
  <si>
    <t xml:space="preserve">  임대료수익</t>
    <phoneticPr fontId="8" type="noConversion"/>
  </si>
  <si>
    <t xml:space="preserve">  관리비수익</t>
    <phoneticPr fontId="8" type="noConversion"/>
  </si>
  <si>
    <t>(단위: 백만원)</t>
    <phoneticPr fontId="8" type="noConversion"/>
  </si>
  <si>
    <t xml:space="preserve">  기타수익</t>
    <phoneticPr fontId="8" type="noConversion"/>
  </si>
  <si>
    <t>제12기</t>
    <phoneticPr fontId="8" type="noConversion"/>
  </si>
  <si>
    <t>제11기</t>
    <phoneticPr fontId="8" type="noConversion"/>
  </si>
  <si>
    <t>제10기</t>
    <phoneticPr fontId="8" type="noConversion"/>
  </si>
  <si>
    <t>영업비용</t>
    <phoneticPr fontId="8" type="noConversion"/>
  </si>
  <si>
    <t>23년9월말</t>
    <phoneticPr fontId="8" type="noConversion"/>
  </si>
  <si>
    <t>23년3월말</t>
    <phoneticPr fontId="8" type="noConversion"/>
  </si>
  <si>
    <t>22년9월말</t>
    <phoneticPr fontId="8" type="noConversion"/>
  </si>
  <si>
    <t xml:space="preserve">  PM/FM 수수료</t>
    <phoneticPr fontId="8" type="noConversion"/>
  </si>
  <si>
    <t>A종</t>
    <phoneticPr fontId="8" type="noConversion"/>
  </si>
  <si>
    <t>배당금</t>
    <phoneticPr fontId="8" type="noConversion"/>
  </si>
  <si>
    <t xml:space="preserve">  수선유지비 및 기타관리비</t>
    <phoneticPr fontId="8" type="noConversion"/>
  </si>
  <si>
    <t>배당수익률</t>
    <phoneticPr fontId="8" type="noConversion"/>
  </si>
  <si>
    <t xml:space="preserve">  감가상각비</t>
    <phoneticPr fontId="8" type="noConversion"/>
  </si>
  <si>
    <t>B종</t>
    <phoneticPr fontId="8" type="noConversion"/>
  </si>
  <si>
    <t>배당금</t>
    <phoneticPr fontId="8" type="noConversion"/>
  </si>
  <si>
    <t xml:space="preserve">  보험료</t>
    <phoneticPr fontId="8" type="noConversion"/>
  </si>
  <si>
    <t xml:space="preserve">  위탁수수료 및 지급수수료 등</t>
    <phoneticPr fontId="8" type="noConversion"/>
  </si>
  <si>
    <t>보통주</t>
    <phoneticPr fontId="8" type="noConversion"/>
  </si>
  <si>
    <t xml:space="preserve">  세금과공과</t>
    <phoneticPr fontId="8" type="noConversion"/>
  </si>
  <si>
    <t xml:space="preserve">  기타운영비</t>
    <phoneticPr fontId="8" type="noConversion"/>
  </si>
  <si>
    <t>*배당수익률 = (배당금합계 / 투자원본) x 2(연환산)</t>
    <phoneticPr fontId="8" type="noConversion"/>
  </si>
  <si>
    <t>영업이익</t>
    <phoneticPr fontId="8" type="noConversion"/>
  </si>
  <si>
    <t>영업외수익</t>
    <phoneticPr fontId="8" type="noConversion"/>
  </si>
  <si>
    <t xml:space="preserve">  이자수익 등</t>
    <phoneticPr fontId="8" type="noConversion"/>
  </si>
  <si>
    <t>내용</t>
    <phoneticPr fontId="8" type="noConversion"/>
  </si>
  <si>
    <t>영업외비용</t>
    <phoneticPr fontId="8" type="noConversion"/>
  </si>
  <si>
    <t>공실률</t>
    <phoneticPr fontId="8" type="noConversion"/>
  </si>
  <si>
    <t>전용면적 기준 74.11 평 공실</t>
    <phoneticPr fontId="8" type="noConversion"/>
  </si>
  <si>
    <t xml:space="preserve">  이자비용 등</t>
    <phoneticPr fontId="8" type="noConversion"/>
  </si>
  <si>
    <t>WALE</t>
    <phoneticPr fontId="8" type="noConversion"/>
  </si>
  <si>
    <t>1.54 년</t>
    <phoneticPr fontId="8" type="noConversion"/>
  </si>
  <si>
    <t>삼성카드 계열(27.28%) 24년 말 만기 연장 예정</t>
    <phoneticPr fontId="8" type="noConversion"/>
  </si>
  <si>
    <t>당기순이익</t>
    <phoneticPr fontId="8" type="noConversion"/>
  </si>
  <si>
    <t>월평균 NOC</t>
    <phoneticPr fontId="8" type="noConversion"/>
  </si>
  <si>
    <t>191,738원/평</t>
    <phoneticPr fontId="8" type="noConversion"/>
  </si>
  <si>
    <r>
      <t>{(보증금x3% +실질임대료 + 관리비)/12}÷</t>
    </r>
    <r>
      <rPr>
        <sz val="9.35"/>
        <color theme="1"/>
        <rFont val="KB금융 본문체 Medium"/>
        <family val="3"/>
        <charset val="129"/>
      </rPr>
      <t>전용면적</t>
    </r>
    <phoneticPr fontId="8" type="noConversion"/>
  </si>
  <si>
    <t>주요 임차인</t>
    <phoneticPr fontId="8" type="noConversion"/>
  </si>
  <si>
    <t>삼성카드 계열(27%), 우리카드(13%), 리테일(3%) 등 총 37개사 임차 중</t>
    <phoneticPr fontId="8" type="noConversion"/>
  </si>
  <si>
    <t>Net Operating Income</t>
    <phoneticPr fontId="8" type="noConversion"/>
  </si>
  <si>
    <t>운용수익</t>
    <phoneticPr fontId="8" type="noConversion"/>
  </si>
  <si>
    <t xml:space="preserve">  임대료수익</t>
    <phoneticPr fontId="8" type="noConversion"/>
  </si>
  <si>
    <t xml:space="preserve">  이자수익</t>
    <phoneticPr fontId="8" type="noConversion"/>
  </si>
  <si>
    <t>운용비용</t>
    <phoneticPr fontId="8" type="noConversion"/>
  </si>
  <si>
    <t xml:space="preserve">  수선유지비 및 기타관리비</t>
    <phoneticPr fontId="8" type="noConversion"/>
  </si>
  <si>
    <t xml:space="preserve">  보험료</t>
    <phoneticPr fontId="8" type="noConversion"/>
  </si>
  <si>
    <t>재무상태표</t>
    <phoneticPr fontId="8" type="noConversion"/>
  </si>
  <si>
    <t>㈜케이비운용제1호위탁관리부동산투자회사</t>
    <phoneticPr fontId="8" type="noConversion"/>
  </si>
  <si>
    <t>과목</t>
    <phoneticPr fontId="20" type="noConversion"/>
  </si>
  <si>
    <t>당월</t>
    <phoneticPr fontId="8" type="noConversion"/>
  </si>
  <si>
    <r>
      <t>1</t>
    </r>
    <r>
      <rPr>
        <sz val="11"/>
        <color theme="1"/>
        <rFont val="맑은 고딕"/>
        <family val="2"/>
        <scheme val="minor"/>
      </rPr>
      <t>. 계정과목 변동여부 체크</t>
    </r>
    <phoneticPr fontId="8" type="noConversion"/>
  </si>
  <si>
    <r>
      <t>2</t>
    </r>
    <r>
      <rPr>
        <sz val="11"/>
        <color theme="1"/>
        <rFont val="맑은 고딕"/>
        <family val="2"/>
        <scheme val="minor"/>
      </rPr>
      <t>. 금액 값복사</t>
    </r>
    <phoneticPr fontId="8" type="noConversion"/>
  </si>
  <si>
    <t>자    산</t>
    <phoneticPr fontId="20" type="noConversion"/>
  </si>
  <si>
    <t>Ⅰ. 유동자산</t>
    <phoneticPr fontId="20" type="noConversion"/>
  </si>
  <si>
    <t xml:space="preserve">  (1) 당좌자산</t>
    <phoneticPr fontId="8" type="noConversion"/>
  </si>
  <si>
    <t>1.</t>
    <phoneticPr fontId="20" type="noConversion"/>
  </si>
  <si>
    <t>예금</t>
    <phoneticPr fontId="20" type="noConversion"/>
  </si>
  <si>
    <t>2.</t>
    <phoneticPr fontId="20" type="noConversion"/>
  </si>
  <si>
    <t>단기금융상품</t>
    <phoneticPr fontId="20" type="noConversion"/>
  </si>
  <si>
    <t>매출채권</t>
    <phoneticPr fontId="20" type="noConversion"/>
  </si>
  <si>
    <t>미수금</t>
    <phoneticPr fontId="20" type="noConversion"/>
  </si>
  <si>
    <t>미수수익</t>
    <phoneticPr fontId="20" type="noConversion"/>
  </si>
  <si>
    <t>선급금</t>
    <phoneticPr fontId="20" type="noConversion"/>
  </si>
  <si>
    <t>선급비용</t>
    <phoneticPr fontId="20" type="noConversion"/>
  </si>
  <si>
    <t>선급부가세</t>
    <phoneticPr fontId="20" type="noConversion"/>
  </si>
  <si>
    <t>미수법인세환급액</t>
    <phoneticPr fontId="20" type="noConversion"/>
  </si>
  <si>
    <t>Ⅱ. 비유동자산</t>
    <phoneticPr fontId="20" type="noConversion"/>
  </si>
  <si>
    <t xml:space="preserve">  (1) 투자자산</t>
    <phoneticPr fontId="8" type="noConversion"/>
  </si>
  <si>
    <t>장기금융상품</t>
    <phoneticPr fontId="20" type="noConversion"/>
  </si>
  <si>
    <t xml:space="preserve">  (2) 유형자산</t>
    <phoneticPr fontId="8" type="noConversion"/>
  </si>
  <si>
    <t>토지</t>
    <phoneticPr fontId="20" type="noConversion"/>
  </si>
  <si>
    <t>건물</t>
    <phoneticPr fontId="20" type="noConversion"/>
  </si>
  <si>
    <t>감가상각누계액</t>
    <phoneticPr fontId="20" type="noConversion"/>
  </si>
  <si>
    <t>건설중인자산</t>
    <phoneticPr fontId="8" type="noConversion"/>
  </si>
  <si>
    <t xml:space="preserve">  (3) 기타비유동자산</t>
    <phoneticPr fontId="8" type="noConversion"/>
  </si>
  <si>
    <t>1.</t>
    <phoneticPr fontId="8" type="noConversion"/>
  </si>
  <si>
    <t>기타보증금</t>
    <phoneticPr fontId="8" type="noConversion"/>
  </si>
  <si>
    <t>장기선급비용</t>
    <phoneticPr fontId="20" type="noConversion"/>
  </si>
  <si>
    <t>자산총계</t>
    <phoneticPr fontId="20" type="noConversion"/>
  </si>
  <si>
    <t>부    채</t>
    <phoneticPr fontId="20" type="noConversion"/>
  </si>
  <si>
    <t>Ⅰ. 유동부채</t>
    <phoneticPr fontId="20" type="noConversion"/>
  </si>
  <si>
    <t>미지급금</t>
    <phoneticPr fontId="20" type="noConversion"/>
  </si>
  <si>
    <t>미지급비용</t>
    <phoneticPr fontId="20" type="noConversion"/>
  </si>
  <si>
    <t>미지급회계용역보수</t>
    <phoneticPr fontId="20" type="noConversion"/>
  </si>
  <si>
    <t>미지급제세공과금</t>
    <phoneticPr fontId="20" type="noConversion"/>
  </si>
  <si>
    <t>미지급기타비용</t>
    <phoneticPr fontId="20" type="noConversion"/>
  </si>
  <si>
    <t>3.</t>
    <phoneticPr fontId="8" type="noConversion"/>
  </si>
  <si>
    <t>선수금</t>
    <phoneticPr fontId="20" type="noConversion"/>
  </si>
  <si>
    <t>예수금</t>
    <phoneticPr fontId="20" type="noConversion"/>
  </si>
  <si>
    <t>부가세예수금</t>
    <phoneticPr fontId="20" type="noConversion"/>
  </si>
  <si>
    <t>6.</t>
    <phoneticPr fontId="8" type="noConversion"/>
  </si>
  <si>
    <t>단기차입금</t>
    <phoneticPr fontId="20" type="noConversion"/>
  </si>
  <si>
    <t>7.</t>
    <phoneticPr fontId="8" type="noConversion"/>
  </si>
  <si>
    <t>이행보증금</t>
    <phoneticPr fontId="20" type="noConversion"/>
  </si>
  <si>
    <t>Ⅱ. 비유동부채</t>
    <phoneticPr fontId="20" type="noConversion"/>
  </si>
  <si>
    <t>장기차입금</t>
    <phoneticPr fontId="20" type="noConversion"/>
  </si>
  <si>
    <t>2.</t>
    <phoneticPr fontId="8" type="noConversion"/>
  </si>
  <si>
    <t>임대보증금</t>
    <phoneticPr fontId="20" type="noConversion"/>
  </si>
  <si>
    <t>부채총계</t>
    <phoneticPr fontId="20" type="noConversion"/>
  </si>
  <si>
    <t>자    본</t>
    <phoneticPr fontId="20" type="noConversion"/>
  </si>
  <si>
    <r>
      <t>Ⅰ</t>
    </r>
    <r>
      <rPr>
        <b/>
        <sz val="8.5"/>
        <rFont val="맑은 고딕"/>
        <family val="3"/>
        <charset val="129"/>
      </rPr>
      <t xml:space="preserve">. </t>
    </r>
    <r>
      <rPr>
        <b/>
        <sz val="10"/>
        <rFont val="맑은 고딕"/>
        <family val="3"/>
        <charset val="129"/>
      </rPr>
      <t>자본금</t>
    </r>
    <phoneticPr fontId="20" type="noConversion"/>
  </si>
  <si>
    <t>보통주자본금</t>
    <phoneticPr fontId="20" type="noConversion"/>
  </si>
  <si>
    <t>종류주자본금(A)</t>
    <phoneticPr fontId="20" type="noConversion"/>
  </si>
  <si>
    <t>종류주자본금(B)</t>
    <phoneticPr fontId="20" type="noConversion"/>
  </si>
  <si>
    <r>
      <t>Ⅱ</t>
    </r>
    <r>
      <rPr>
        <b/>
        <sz val="8.5"/>
        <rFont val="맑은 고딕"/>
        <family val="3"/>
        <charset val="129"/>
      </rPr>
      <t xml:space="preserve">. </t>
    </r>
    <r>
      <rPr>
        <b/>
        <sz val="10"/>
        <rFont val="맑은 고딕"/>
        <family val="3"/>
        <charset val="129"/>
      </rPr>
      <t>자본조정</t>
    </r>
    <phoneticPr fontId="20" type="noConversion"/>
  </si>
  <si>
    <t>주식할인발행차금</t>
    <phoneticPr fontId="20" type="noConversion"/>
  </si>
  <si>
    <t>신주청약증거금</t>
    <phoneticPr fontId="20" type="noConversion"/>
  </si>
  <si>
    <t>3.</t>
    <phoneticPr fontId="20" type="noConversion"/>
  </si>
  <si>
    <t>감자차손</t>
    <phoneticPr fontId="20" type="noConversion"/>
  </si>
  <si>
    <t>Ⅲ. 자본잉여금</t>
    <phoneticPr fontId="20" type="noConversion"/>
  </si>
  <si>
    <t>주식발행초과금</t>
    <phoneticPr fontId="20" type="noConversion"/>
  </si>
  <si>
    <t>Ⅳ. 기타포괄손익누계액</t>
    <phoneticPr fontId="20" type="noConversion"/>
  </si>
  <si>
    <t>재평가잉여금</t>
    <phoneticPr fontId="20" type="noConversion"/>
  </si>
  <si>
    <t>Ⅴ. 이익잉여금</t>
    <phoneticPr fontId="20" type="noConversion"/>
  </si>
  <si>
    <t>당기순이익</t>
    <phoneticPr fontId="20" type="noConversion"/>
  </si>
  <si>
    <t>자본총계</t>
    <phoneticPr fontId="20" type="noConversion"/>
  </si>
  <si>
    <t>부채 및 자본 총계</t>
    <phoneticPr fontId="20" type="noConversion"/>
  </si>
  <si>
    <t>손익계산서</t>
    <phoneticPr fontId="8" type="noConversion"/>
  </si>
  <si>
    <t>㈜케이비운용제1호위탁관리부동산투자회사</t>
    <phoneticPr fontId="8" type="noConversion"/>
  </si>
  <si>
    <t>당월</t>
    <phoneticPr fontId="8" type="noConversion"/>
  </si>
  <si>
    <r>
      <t>1</t>
    </r>
    <r>
      <rPr>
        <sz val="11"/>
        <color theme="1"/>
        <rFont val="맑은 고딕"/>
        <family val="2"/>
        <scheme val="minor"/>
      </rPr>
      <t>. 계정과목 변동여부 체크</t>
    </r>
    <phoneticPr fontId="8" type="noConversion"/>
  </si>
  <si>
    <r>
      <t>2</t>
    </r>
    <r>
      <rPr>
        <sz val="11"/>
        <color theme="1"/>
        <rFont val="맑은 고딕"/>
        <family val="2"/>
        <scheme val="minor"/>
      </rPr>
      <t>. 금액 값복사</t>
    </r>
    <phoneticPr fontId="8" type="noConversion"/>
  </si>
  <si>
    <t>관리비수익</t>
    <phoneticPr fontId="8" type="noConversion"/>
  </si>
  <si>
    <t>기타수익</t>
    <phoneticPr fontId="8" type="noConversion"/>
  </si>
  <si>
    <t xml:space="preserve"> II. 영업비용</t>
    <phoneticPr fontId="8" type="noConversion"/>
  </si>
  <si>
    <t>PM fee</t>
    <phoneticPr fontId="8" type="noConversion"/>
  </si>
  <si>
    <t>수선유지비</t>
    <phoneticPr fontId="8" type="noConversion"/>
  </si>
  <si>
    <t>자산관리수수료</t>
    <phoneticPr fontId="8" type="noConversion"/>
  </si>
  <si>
    <t>사무수탁수수료</t>
    <phoneticPr fontId="8" type="noConversion"/>
  </si>
  <si>
    <t>지급수수료</t>
    <phoneticPr fontId="8" type="noConversion"/>
  </si>
  <si>
    <t>잡이익</t>
    <phoneticPr fontId="8" type="noConversion"/>
  </si>
  <si>
    <t>잡손실</t>
    <phoneticPr fontId="8" type="noConversion"/>
  </si>
  <si>
    <t>요약 재무제표</t>
    <phoneticPr fontId="8" type="noConversion"/>
  </si>
  <si>
    <t>Loan 현황</t>
    <phoneticPr fontId="8" type="noConversion"/>
  </si>
  <si>
    <t>Equity 배당 현황</t>
    <phoneticPr fontId="8" type="noConversion"/>
  </si>
  <si>
    <t>임대차 현황</t>
    <phoneticPr fontId="8" type="noConversion"/>
  </si>
  <si>
    <t>월간 주요 이슈</t>
    <phoneticPr fontId="8" type="noConversion"/>
  </si>
  <si>
    <t>KT estate, 맥서브</t>
    <phoneticPr fontId="8" type="noConversion"/>
  </si>
  <si>
    <t>㈜KB손해보험</t>
    <phoneticPr fontId="8" type="noConversion"/>
  </si>
  <si>
    <t>비고</t>
    <phoneticPr fontId="6" type="noConversion"/>
  </si>
  <si>
    <t>보험기간</t>
    <phoneticPr fontId="6" type="noConversion"/>
  </si>
  <si>
    <t>보험료 합계</t>
    <phoneticPr fontId="8" type="noConversion"/>
  </si>
  <si>
    <t>*전용률 
보정후 
NOC</t>
    <phoneticPr fontId="38" type="noConversion"/>
  </si>
  <si>
    <t>*기준가 기준</t>
    <phoneticPr fontId="6" type="noConversion"/>
  </si>
  <si>
    <t>한샘 상암사옥
(디지털미디어시티역)</t>
    <phoneticPr fontId="8" type="noConversion"/>
  </si>
  <si>
    <t>KB손해보험</t>
    <phoneticPr fontId="6" type="noConversion"/>
  </si>
  <si>
    <t>일시납 완료</t>
    <phoneticPr fontId="6" type="noConversion"/>
  </si>
  <si>
    <t>메리츠화재해상보험</t>
    <phoneticPr fontId="6" type="noConversion"/>
  </si>
  <si>
    <t>(단위 : 연 / 원)</t>
    <phoneticPr fontId="16" type="noConversion"/>
  </si>
  <si>
    <t>(임대료, 관리비 필터 체크하여 임대료, 관리비 복사 붙여넣기 / VAT 필터 체크 후 복사 붙여넣기)</t>
    <phoneticPr fontId="6" type="noConversion"/>
  </si>
  <si>
    <t>(임대료, 관리비 필터 체크하여 임차인명 복붙해서 개수 차이 일치 확인)</t>
    <phoneticPr fontId="6" type="noConversion"/>
  </si>
  <si>
    <t>(추가관리비 invoice, 결산자료 파일 참조. 복사 붙여넣기) - 추가, 변경, 삭제 입주사 확인 필</t>
    <phoneticPr fontId="6" type="noConversion"/>
  </si>
  <si>
    <t>제13기 2024년 03월 31일 현재</t>
  </si>
  <si>
    <t>당기</t>
    <phoneticPr fontId="8" type="noConversion"/>
  </si>
  <si>
    <t>2024.05</t>
    <phoneticPr fontId="8" type="noConversion"/>
  </si>
  <si>
    <t>2024.04</t>
  </si>
  <si>
    <t>2024.05</t>
    <phoneticPr fontId="6" type="noConversion"/>
  </si>
  <si>
    <t>2024년 05월</t>
    <phoneticPr fontId="6" type="noConversion"/>
  </si>
  <si>
    <t>지하주차장 카스토퍼 설치</t>
    <phoneticPr fontId="6" type="noConversion"/>
  </si>
  <si>
    <t>수선유지비</t>
    <phoneticPr fontId="6" type="noConversion"/>
  </si>
  <si>
    <t>회계 안분금액 차이</t>
    <phoneticPr fontId="6" type="noConversion"/>
  </si>
  <si>
    <t>예산대비 회계 안분금액 감소</t>
    <phoneticPr fontId="6" type="noConversion"/>
  </si>
  <si>
    <t>고지서-가스)공용 ÷ 가스사용량및요금-단가</t>
    <phoneticPr fontId="8" type="noConversion"/>
  </si>
  <si>
    <t>한화손해보험㈜</t>
    <phoneticPr fontId="6" type="noConversion"/>
  </si>
  <si>
    <t>집합건물 영업배상책임보험</t>
    <phoneticPr fontId="8" type="noConversion"/>
  </si>
  <si>
    <t>FMC 영업배상책임보험</t>
    <phoneticPr fontId="8" type="noConversion"/>
  </si>
  <si>
    <t>*FMC 영업배상책임보험 세부내역</t>
    <phoneticPr fontId="6" type="noConversion"/>
  </si>
  <si>
    <t>♦ 인근빌딩분석(서부권)</t>
    <phoneticPr fontId="20" type="noConversion"/>
  </si>
  <si>
    <t>Rent Free</t>
    <phoneticPr fontId="8" type="noConversion"/>
  </si>
  <si>
    <t>매월 FM fee 납부</t>
    <phoneticPr fontId="6" type="noConversion"/>
  </si>
  <si>
    <t>2023.08.11 ~ 2024.08.10</t>
    <phoneticPr fontId="8" type="noConversion"/>
  </si>
  <si>
    <t>기준일자</t>
    <phoneticPr fontId="6" type="noConversion"/>
  </si>
  <si>
    <t>규 모</t>
    <phoneticPr fontId="6" type="noConversion"/>
  </si>
  <si>
    <t>B7F ~ 40F</t>
    <phoneticPr fontId="6" type="noConversion"/>
  </si>
  <si>
    <t>건물 연면적</t>
    <phoneticPr fontId="6" type="noConversion"/>
  </si>
  <si>
    <t>월 유료주차비</t>
    <phoneticPr fontId="6" type="noConversion"/>
  </si>
  <si>
    <t>Summary</t>
    <phoneticPr fontId="6" type="noConversion"/>
  </si>
  <si>
    <t>임대율</t>
    <phoneticPr fontId="6" type="noConversion"/>
  </si>
  <si>
    <t>공실률</t>
    <phoneticPr fontId="6" type="noConversion"/>
  </si>
  <si>
    <t>보증금 운용이율</t>
    <phoneticPr fontId="6" type="noConversion"/>
  </si>
  <si>
    <t>Average .NOC</t>
    <phoneticPr fontId="6" type="noConversion"/>
  </si>
  <si>
    <t>Average .Eff. NOC</t>
    <phoneticPr fontId="6" type="noConversion"/>
  </si>
  <si>
    <t>Average .WALE</t>
    <phoneticPr fontId="6" type="noConversion"/>
  </si>
  <si>
    <t>상세내용(숨기기)</t>
    <phoneticPr fontId="6" type="noConversion"/>
  </si>
  <si>
    <t>Item</t>
    <phoneticPr fontId="6" type="noConversion"/>
  </si>
  <si>
    <t>Floor</t>
    <phoneticPr fontId="6" type="noConversion"/>
  </si>
  <si>
    <t>Room</t>
    <phoneticPr fontId="6" type="noConversion"/>
  </si>
  <si>
    <t>용도</t>
    <phoneticPr fontId="6" type="noConversion"/>
  </si>
  <si>
    <t>Tenant</t>
    <phoneticPr fontId="6" type="noConversion"/>
  </si>
  <si>
    <t>임대면적</t>
    <phoneticPr fontId="6" type="noConversion"/>
  </si>
  <si>
    <t>전용면적</t>
    <phoneticPr fontId="6" type="noConversion"/>
  </si>
  <si>
    <t>전용률</t>
    <phoneticPr fontId="6" type="noConversion"/>
  </si>
  <si>
    <t>임대차 기간</t>
    <phoneticPr fontId="6" type="noConversion"/>
  </si>
  <si>
    <t>의무 임대차기간</t>
    <phoneticPr fontId="6" type="noConversion"/>
  </si>
  <si>
    <t>계약기간 만기통지</t>
    <phoneticPr fontId="6" type="noConversion"/>
  </si>
  <si>
    <t>Rent-Free</t>
    <phoneticPr fontId="6" type="noConversion"/>
  </si>
  <si>
    <t>Fit-Out(period)</t>
    <phoneticPr fontId="6" type="noConversion"/>
  </si>
  <si>
    <t>Tenant Improvement(T.I)</t>
    <phoneticPr fontId="6" type="noConversion"/>
  </si>
  <si>
    <t>Net Occupancy Cost(NOC)</t>
    <phoneticPr fontId="6" type="noConversion"/>
  </si>
  <si>
    <t>보증금</t>
    <phoneticPr fontId="6" type="noConversion"/>
  </si>
  <si>
    <t>임대료</t>
    <phoneticPr fontId="6" type="noConversion"/>
  </si>
  <si>
    <t>관리비</t>
    <phoneticPr fontId="6" type="noConversion"/>
  </si>
  <si>
    <t>월 납입액</t>
    <phoneticPr fontId="6" type="noConversion"/>
  </si>
  <si>
    <t>무료주차</t>
    <phoneticPr fontId="6" type="noConversion"/>
  </si>
  <si>
    <t>인상조건</t>
    <phoneticPr fontId="6" type="noConversion"/>
  </si>
  <si>
    <t>조정일</t>
    <phoneticPr fontId="6" type="noConversion"/>
  </si>
  <si>
    <t>특약조항</t>
    <phoneticPr fontId="6" type="noConversion"/>
  </si>
  <si>
    <t>입금일</t>
    <phoneticPr fontId="6" type="noConversion"/>
  </si>
  <si>
    <t>기타사항</t>
    <phoneticPr fontId="6" type="noConversion"/>
  </si>
  <si>
    <t>제소전화해</t>
    <phoneticPr fontId="6" type="noConversion"/>
  </si>
  <si>
    <t>㎡</t>
    <phoneticPr fontId="6" type="noConversion"/>
  </si>
  <si>
    <t>3.3㎡</t>
    <phoneticPr fontId="6" type="noConversion"/>
  </si>
  <si>
    <t>%</t>
    <phoneticPr fontId="6" type="noConversion"/>
  </si>
  <si>
    <t>최초 계약기간</t>
    <phoneticPr fontId="6" type="noConversion"/>
  </si>
  <si>
    <t>시작</t>
    <phoneticPr fontId="6" type="noConversion"/>
  </si>
  <si>
    <t>종료</t>
    <phoneticPr fontId="6" type="noConversion"/>
  </si>
  <si>
    <t>년</t>
    <phoneticPr fontId="6" type="noConversion"/>
  </si>
  <si>
    <t>개월</t>
    <phoneticPr fontId="6" type="noConversion"/>
  </si>
  <si>
    <t>잔여개월
(금일기준)</t>
    <phoneticPr fontId="6" type="noConversion"/>
  </si>
  <si>
    <t>WALE</t>
    <phoneticPr fontId="6" type="noConversion"/>
  </si>
  <si>
    <t>잔여개월</t>
    <phoneticPr fontId="6" type="noConversion"/>
  </si>
  <si>
    <t>일</t>
    <phoneticPr fontId="6" type="noConversion"/>
  </si>
  <si>
    <t>/년</t>
    <phoneticPr fontId="6" type="noConversion"/>
  </si>
  <si>
    <t>임대료면제</t>
    <phoneticPr fontId="6" type="noConversion"/>
  </si>
  <si>
    <t>관리비면제</t>
    <phoneticPr fontId="6" type="noConversion"/>
  </si>
  <si>
    <t>전용 3.3㎡</t>
    <phoneticPr fontId="6" type="noConversion"/>
  </si>
  <si>
    <t>원</t>
    <phoneticPr fontId="6" type="noConversion"/>
  </si>
  <si>
    <t>Basic</t>
    <phoneticPr fontId="6" type="noConversion"/>
  </si>
  <si>
    <t>Effective
(RF,FO,TI 포함)</t>
    <phoneticPr fontId="6" type="noConversion"/>
  </si>
  <si>
    <t>총 액</t>
    <phoneticPr fontId="6" type="noConversion"/>
  </si>
  <si>
    <t>보험/보증</t>
    <phoneticPr fontId="6" type="noConversion"/>
  </si>
  <si>
    <t>반환부채</t>
    <phoneticPr fontId="6" type="noConversion"/>
  </si>
  <si>
    <t>총 기간</t>
    <phoneticPr fontId="6" type="noConversion"/>
  </si>
  <si>
    <t>명목
임대료
(Face Rent)</t>
    <phoneticPr fontId="6" type="noConversion"/>
  </si>
  <si>
    <t>실질
임대료
(Effective Rent)</t>
    <phoneticPr fontId="6" type="noConversion"/>
  </si>
  <si>
    <t>면적당 
배정대수</t>
    <phoneticPr fontId="6" type="noConversion"/>
  </si>
  <si>
    <t>계약 
배정대수</t>
    <phoneticPr fontId="6" type="noConversion"/>
  </si>
  <si>
    <t>보증금, 임대료, 관리비 조정조건</t>
    <phoneticPr fontId="6" type="noConversion"/>
  </si>
  <si>
    <t>중도해지</t>
    <phoneticPr fontId="6" type="noConversion"/>
  </si>
  <si>
    <t>위약금 및 손해배상금액</t>
    <phoneticPr fontId="6" type="noConversion"/>
  </si>
  <si>
    <t>연체이율</t>
    <phoneticPr fontId="6" type="noConversion"/>
  </si>
  <si>
    <t>Rent Free</t>
    <phoneticPr fontId="6" type="noConversion"/>
  </si>
  <si>
    <t>내용</t>
    <phoneticPr fontId="6" type="noConversion"/>
  </si>
  <si>
    <t>현 금</t>
    <phoneticPr fontId="6" type="noConversion"/>
  </si>
  <si>
    <t>현금 외</t>
    <phoneticPr fontId="6" type="noConversion"/>
  </si>
  <si>
    <t>RF.FO</t>
    <phoneticPr fontId="6" type="noConversion"/>
  </si>
  <si>
    <t>대체액</t>
    <phoneticPr fontId="6" type="noConversion"/>
  </si>
  <si>
    <t>정기예금
질권운용액</t>
    <phoneticPr fontId="6" type="noConversion"/>
  </si>
  <si>
    <t>보증금계좌
운용액</t>
    <phoneticPr fontId="6" type="noConversion"/>
  </si>
  <si>
    <t>자산취득시
인수보증금</t>
    <phoneticPr fontId="6" type="noConversion"/>
  </si>
  <si>
    <t>보증보험</t>
    <phoneticPr fontId="6" type="noConversion"/>
  </si>
  <si>
    <t>CP</t>
    <phoneticPr fontId="6" type="noConversion"/>
  </si>
  <si>
    <t>고층부</t>
    <phoneticPr fontId="6" type="noConversion"/>
  </si>
  <si>
    <t>Office</t>
    <phoneticPr fontId="6" type="noConversion"/>
  </si>
  <si>
    <t>삼성카드고객서비스 주식회사</t>
    <phoneticPr fontId="6" type="noConversion"/>
  </si>
  <si>
    <t>보증금 동결, 
매년 임관리비 1.9% 인상</t>
    <phoneticPr fontId="6" type="noConversion"/>
  </si>
  <si>
    <t>동결</t>
    <phoneticPr fontId="6" type="noConversion"/>
  </si>
  <si>
    <t>의무임대차 기간 중도해지 불가, 중도해지 경과 후 3개월의 사전 서면 통지 후 중도해지 가능</t>
    <phoneticPr fontId="6" type="noConversion"/>
  </si>
  <si>
    <t>의무임대차 기간 내 중도해지시 3개월 위약벌
제19조 1항과 같이 해지 시 보증금 2개월 기간동안 연 19% 비율 및 6개월 임관리비 위약벌 지급(보증금 공제 가능)</t>
    <phoneticPr fontId="6" type="noConversion"/>
  </si>
  <si>
    <t>2020년 6,7,8월
2021년 6,7,8월
2022년 6,7,8월
2023년 6,7,8월
2024년 7,8월</t>
    <phoneticPr fontId="6" type="noConversion"/>
  </si>
  <si>
    <t>청소서비스, 지하 7층 창고사용, UPS 임차인 관리</t>
    <phoneticPr fontId="6" type="noConversion"/>
  </si>
  <si>
    <t>X</t>
    <phoneticPr fontId="6" type="noConversion"/>
  </si>
  <si>
    <t>삼성카드㈜</t>
    <phoneticPr fontId="6" type="noConversion"/>
  </si>
  <si>
    <t>보증금 동결, 
매년 임,관리비 1.9% 인상</t>
    <phoneticPr fontId="6" type="noConversion"/>
  </si>
  <si>
    <t>2020년 10,11,12월
2021년 10,11,12월
2022년 10,11,12월
2023년 10,11,12월
2024년 11,12월</t>
    <phoneticPr fontId="6" type="noConversion"/>
  </si>
  <si>
    <t>33층 이하 일부에 대해서는 6개월 전 서면통지 중도해지 가능
임대인 서비스 제공 임차인 의무 사항</t>
    <phoneticPr fontId="6" type="noConversion"/>
  </si>
  <si>
    <t>375,756,000 원 전세권 설정</t>
    <phoneticPr fontId="6" type="noConversion"/>
  </si>
  <si>
    <t>중도해지 불가</t>
    <phoneticPr fontId="6" type="noConversion"/>
  </si>
  <si>
    <t>2024년 10,11월</t>
    <phoneticPr fontId="6" type="noConversion"/>
  </si>
  <si>
    <t>10일</t>
    <phoneticPr fontId="6" type="noConversion"/>
  </si>
  <si>
    <t>웨스크레이크코리아㈜</t>
    <phoneticPr fontId="6" type="noConversion"/>
  </si>
  <si>
    <t>보증금 동결, 
매년 임,관리비 3.5% 인상</t>
    <phoneticPr fontId="6" type="noConversion"/>
  </si>
  <si>
    <t>의무임대차 기간 중도해지 불가, 중도해지시 3개월 임관리비 위약벌, 의무임대차기간 만료 6개월 전 통보시 가능</t>
    <phoneticPr fontId="6" type="noConversion"/>
  </si>
  <si>
    <t>2023년 12월 2024,1,2월
2024년 12월 2024,1,2월
2025년 12월 2024,1,2월
2026년 12월 2024,1,2월
2027년 12월 2024,1,2월</t>
    <phoneticPr fontId="6" type="noConversion"/>
  </si>
  <si>
    <t>한화생명금융서비스㈜</t>
    <phoneticPr fontId="6" type="noConversion"/>
  </si>
  <si>
    <t>보증금 동결, 
매년 임관리비 2% 인상</t>
    <phoneticPr fontId="6" type="noConversion"/>
  </si>
  <si>
    <t>2022년 5,6,7월
2023년 5,6,7월
2024년 5,6,7월</t>
    <phoneticPr fontId="6" type="noConversion"/>
  </si>
  <si>
    <t>롯데카드 주식회사</t>
    <phoneticPr fontId="6" type="noConversion"/>
  </si>
  <si>
    <t>보증금 동결, 
매년 임관리비 3% 인상</t>
    <phoneticPr fontId="6" type="noConversion"/>
  </si>
  <si>
    <t>2024년 9월
2025년 1,9월
2026년 1,9월
2027년 1월</t>
    <phoneticPr fontId="6" type="noConversion"/>
  </si>
  <si>
    <t>Office</t>
  </si>
  <si>
    <t>㈜우리카드</t>
    <phoneticPr fontId="6" type="noConversion"/>
  </si>
  <si>
    <t>보증금 동결,
매년 임관리비 2% 인상</t>
    <phoneticPr fontId="6" type="noConversion"/>
  </si>
  <si>
    <t>2022년 3,4,5월
2023년 3,4,5월
2024년 2,3,4,5월
2025년 3,4,5월
2026년 2,3,4,5월</t>
    <phoneticPr fontId="6" type="noConversion"/>
  </si>
  <si>
    <t>소 계</t>
    <phoneticPr fontId="6" type="noConversion"/>
  </si>
  <si>
    <t>고층부 전체면적</t>
    <phoneticPr fontId="6" type="noConversion"/>
  </si>
  <si>
    <t>중층부</t>
    <phoneticPr fontId="6" type="noConversion"/>
  </si>
  <si>
    <t>2022년 2,5,8,11월
2023년 2,5,8,11월
2024년 2,5,8,11월
2025년 2,5,8,11월
2026년 2,5,8,11월</t>
    <phoneticPr fontId="6" type="noConversion"/>
  </si>
  <si>
    <t>2022년 3월
2023년 3,4,5월
2024년 2,3,4,5월
2025년 3,4,5월
2026년 2,3,4,5월</t>
    <phoneticPr fontId="6" type="noConversion"/>
  </si>
  <si>
    <t>교보생명보험㈜</t>
    <phoneticPr fontId="6" type="noConversion"/>
  </si>
  <si>
    <t>보증금 동결,
매년 임관리비 2.5% 인상</t>
    <phoneticPr fontId="6" type="noConversion"/>
  </si>
  <si>
    <t>임차인의 영업악화 등의 사유로 임대면적의 최대 20%(1,170.48㎡) 까지 감평하고자 하는 날부터 3개월전 서면통지로 감평가능
단 25층에 한에서만 감평 가능하며 위약벌은 없음</t>
    <phoneticPr fontId="6" type="noConversion"/>
  </si>
  <si>
    <t>2024년 10,11월
2025년 10,11월
2026년 10,11월</t>
    <phoneticPr fontId="6" type="noConversion"/>
  </si>
  <si>
    <t>한화라이프랩㈜</t>
    <phoneticPr fontId="6" type="noConversion"/>
  </si>
  <si>
    <t>보증금 동결, 
매년 임대료 1.5%, 관리비 3% 인상</t>
    <phoneticPr fontId="6" type="noConversion"/>
  </si>
  <si>
    <t>2021년 2,3,4,5월
2022년 2,3,4,5월</t>
    <phoneticPr fontId="6" type="noConversion"/>
  </si>
  <si>
    <t>㈜한국쯔바키모토</t>
    <phoneticPr fontId="6" type="noConversion"/>
  </si>
  <si>
    <t>보증금 동결,
매년 임관리비 3% 인상</t>
    <phoneticPr fontId="6" type="noConversion"/>
  </si>
  <si>
    <t>한국어 계약서 우선 적용</t>
    <phoneticPr fontId="6" type="noConversion"/>
  </si>
  <si>
    <t>콘센트릭스서비스코리아 유한회사</t>
    <phoneticPr fontId="6" type="noConversion"/>
  </si>
  <si>
    <t>보증금 동결, 
임대료 4년차부터 임관리비 2% 인상</t>
    <phoneticPr fontId="6" type="noConversion"/>
  </si>
  <si>
    <t>2021년 6,9,12월, 2022년 3월
2022년 6,9,12월, 2023년 3월
2023년 6,9,12월, 2024년 3월
2024년 6,9,12월, 2025년 3월
2025년 6,9,12월, 2026년 3월</t>
    <phoneticPr fontId="6" type="noConversion"/>
  </si>
  <si>
    <t>특약 제7조 서면동의 득한 뒤 특수관계에 있어 전대가 가능함 단 모든 책임은 임차인</t>
    <phoneticPr fontId="6" type="noConversion"/>
  </si>
  <si>
    <t>2021년 12월, 2022년 3,6,9월
2022년 12월, 2023년 3,6,9월
2023년 12월, 2024년 3,6,9월
2024년 12월, 2025년 3,6,9월
2025년 12월, 2026년 3,6,9월</t>
    <phoneticPr fontId="6" type="noConversion"/>
  </si>
  <si>
    <t>KIS정보통신㈜</t>
    <phoneticPr fontId="6" type="noConversion"/>
  </si>
  <si>
    <t>2024년 5,6월
2025년 5,6월
2026년 5,6월</t>
    <phoneticPr fontId="6" type="noConversion"/>
  </si>
  <si>
    <t>의무임대차 기간 내 중도해지시 3개월 위약벌
제19조 1항과 같이 해지 시 보증금 2개월 기간동안 연 19% 비율 및 6개월 임관리비 위약벌 지급(보증금 공제 가능)
보증금 반환 10일애니 반환하지 않는 경우 반환하지 않는 날까지 연 19% 연체이자 포함하여 납부</t>
    <phoneticPr fontId="6" type="noConversion"/>
  </si>
  <si>
    <t>미래에셋생명보험㈜</t>
    <phoneticPr fontId="6" type="noConversion"/>
  </si>
  <si>
    <t>2021년 3,4,5,6,7월
2022년 4,5,6,7월
2023년 4,5,6,7월
2024년 4,5,6,7월
2025년 3,4,5,6,7월</t>
    <phoneticPr fontId="6" type="noConversion"/>
  </si>
  <si>
    <t>2024년 5,6,10월</t>
    <phoneticPr fontId="6" type="noConversion"/>
  </si>
  <si>
    <t>한화생명보험㈜</t>
    <phoneticPr fontId="6" type="noConversion"/>
  </si>
  <si>
    <t>의무임대차 기간 중도해지 불가</t>
    <phoneticPr fontId="6" type="noConversion"/>
  </si>
  <si>
    <t>2024년 5,6,7월
2025년 5,6,7월
2026년 5,6,7월</t>
    <phoneticPr fontId="6" type="noConversion"/>
  </si>
  <si>
    <t>2024년 2,3,4월
2025년 2,3,4월
2026년 2,3,4월</t>
    <phoneticPr fontId="6" type="noConversion"/>
  </si>
  <si>
    <t>메리츠화재해상보험㈜</t>
    <phoneticPr fontId="6" type="noConversion"/>
  </si>
  <si>
    <t>보증금 동결,
매년 임대료 2.5% 관리비 3% 인상</t>
    <phoneticPr fontId="6" type="noConversion"/>
  </si>
  <si>
    <t>2023년 9월 16일~ 10월 31일
2024년 9월 16일~ 10월 31일
2025년 9월 16일~ 10월 31일</t>
    <phoneticPr fontId="6" type="noConversion"/>
  </si>
  <si>
    <t>중층부 전체면적</t>
    <phoneticPr fontId="6" type="noConversion"/>
  </si>
  <si>
    <t>저층부</t>
    <phoneticPr fontId="6" type="noConversion"/>
  </si>
  <si>
    <t>엘비휴넷 주식회사</t>
    <phoneticPr fontId="6" type="noConversion"/>
  </si>
  <si>
    <t>보증금 동결, 
매년 임관리비 3.5% 인상</t>
    <phoneticPr fontId="6" type="noConversion"/>
  </si>
  <si>
    <r>
      <rPr>
        <strike/>
        <sz val="11"/>
        <color theme="1"/>
        <rFont val="KB금융 본문체 Light"/>
        <family val="3"/>
        <charset val="129"/>
      </rPr>
      <t>2023년 5, 6월 2024년 1, 2월
2024년 5,</t>
    </r>
    <r>
      <rPr>
        <sz val="11"/>
        <color theme="1"/>
        <rFont val="KB금융 본문체 Light"/>
        <family val="3"/>
        <charset val="129"/>
      </rPr>
      <t xml:space="preserve"> 6월 2025년 1, 2월
2025년 5, 6월 2026년 1, 2월</t>
    </r>
    <phoneticPr fontId="6" type="noConversion"/>
  </si>
  <si>
    <t>특약 8조 추가관리비(7~9,12~2월) 면제</t>
    <phoneticPr fontId="6" type="noConversion"/>
  </si>
  <si>
    <t>관리비 계좌에서 보증금 일부 반환</t>
    <phoneticPr fontId="6" type="noConversion"/>
  </si>
  <si>
    <t>삼성화재해상보험㈜</t>
    <phoneticPr fontId="6" type="noConversion"/>
  </si>
  <si>
    <t>보증금 동결, 
매년 임관리비 2.5% 인상</t>
    <phoneticPr fontId="6" type="noConversion"/>
  </si>
  <si>
    <t>2022년 4,6,8,10월
2023년 4,6,8,10월
2024년 4,6,8,10월
2025년 4,6,8,10월
2026년 4,6,8,10월</t>
    <phoneticPr fontId="6" type="noConversion"/>
  </si>
  <si>
    <t>㈜카리스</t>
    <phoneticPr fontId="6" type="noConversion"/>
  </si>
  <si>
    <t>보증금 동결, 
 매년 임관리비 2% 인상</t>
    <phoneticPr fontId="6" type="noConversion"/>
  </si>
  <si>
    <t>2020년 5,6,7,8월
2021년 5,6,7,8월
2022년 5,6,7,8월
2023년 5,6,7,8월
2024년 5,6,7,8월</t>
    <phoneticPr fontId="6" type="noConversion"/>
  </si>
  <si>
    <t>현대해상화재보험㈜</t>
    <phoneticPr fontId="6" type="noConversion"/>
  </si>
  <si>
    <t>보증금 동결, 
매년 임대료 3%, 관리비 3.5% 인상</t>
    <phoneticPr fontId="6" type="noConversion"/>
  </si>
  <si>
    <t>2023년 9월, 2024년 1,2,3월
2024년 9월, 2025년 1,2,3월
2025년 9월, 2026년 1,2,3월
2026년 9월, 2027년 1,2,3월
2027년 9월, 2028년 1,2,3월</t>
    <phoneticPr fontId="6" type="noConversion"/>
  </si>
  <si>
    <t xml:space="preserve">2020년 10,11,12월
2021년 10,11,12월
2022년 10,11,12월
2023년 10,11,12월
2024년 11,12월
</t>
    <phoneticPr fontId="6" type="noConversion"/>
  </si>
  <si>
    <t>롯데손해보험㈜</t>
    <phoneticPr fontId="6" type="noConversion"/>
  </si>
  <si>
    <t>보증금 동결, 
매년 임,관리비 3% 인상</t>
    <phoneticPr fontId="6" type="noConversion"/>
  </si>
  <si>
    <t>2024년 8,10월
2025년 8,10월</t>
    <phoneticPr fontId="6" type="noConversion"/>
  </si>
  <si>
    <t>신한금융플러스㈜</t>
    <phoneticPr fontId="6" type="noConversion"/>
  </si>
  <si>
    <t>2022년 1,2,3,4월
2023년 1,2,3,4월
2024년 1,2,3,4월
2025년 1,2,3,4월
2026년 1,2,3,4월</t>
    <phoneticPr fontId="6" type="noConversion"/>
  </si>
  <si>
    <t>승계합의서 작성</t>
    <phoneticPr fontId="6" type="noConversion"/>
  </si>
  <si>
    <t>Retail</t>
    <phoneticPr fontId="6" type="noConversion"/>
  </si>
  <si>
    <t>라온약국</t>
    <phoneticPr fontId="6" type="noConversion"/>
  </si>
  <si>
    <t>보증금 동결, 
매년 임대료 2%, 관리비 3% 인상</t>
    <phoneticPr fontId="6" type="noConversion"/>
  </si>
  <si>
    <t>유니앤미헤어살롱</t>
    <phoneticPr fontId="6" type="noConversion"/>
  </si>
  <si>
    <t>2020년 7,8월
2022년 6,7월
2023년 6,7월
2024년 6,7월
2025년 6,7월</t>
    <phoneticPr fontId="6" type="noConversion"/>
  </si>
  <si>
    <t>삼성드림안과(박상훈)</t>
    <phoneticPr fontId="6" type="noConversion"/>
  </si>
  <si>
    <t>매년 7월</t>
    <phoneticPr fontId="6" type="noConversion"/>
  </si>
  <si>
    <t>과거 승계 내용 확인</t>
    <phoneticPr fontId="6" type="noConversion"/>
  </si>
  <si>
    <t>아임플치과의원</t>
    <phoneticPr fontId="6" type="noConversion"/>
  </si>
  <si>
    <t>보증금 동결, 
매년 임,관리비 2.5% 인상</t>
    <phoneticPr fontId="6" type="noConversion"/>
  </si>
  <si>
    <t>2022년 2,5,9,11월
2023년 2,5,9,11월
2024년 2,5,9,11월</t>
    <phoneticPr fontId="6" type="noConversion"/>
  </si>
  <si>
    <t>해온한의원</t>
    <phoneticPr fontId="6" type="noConversion"/>
  </si>
  <si>
    <t>보증금 동결, 
매년 임대료 2.5%, 관리비 3% 인상</t>
    <phoneticPr fontId="6" type="noConversion"/>
  </si>
  <si>
    <t>특약 5조 B6F 창고 사용</t>
    <phoneticPr fontId="6" type="noConversion"/>
  </si>
  <si>
    <t>17.04㎡</t>
    <phoneticPr fontId="6" type="noConversion"/>
  </si>
  <si>
    <t>Retail</t>
  </si>
  <si>
    <t>PM Office</t>
    <phoneticPr fontId="6" type="noConversion"/>
  </si>
  <si>
    <t>주식회사 제니엘맥</t>
    <phoneticPr fontId="6" type="noConversion"/>
  </si>
  <si>
    <t>2024년 6,7월</t>
    <phoneticPr fontId="6" type="noConversion"/>
  </si>
  <si>
    <t>주식회사 제니엘맥(회의실)</t>
    <phoneticPr fontId="6" type="noConversion"/>
  </si>
  <si>
    <t>제니엘맥 무상 회의실 사용 중</t>
    <phoneticPr fontId="6" type="noConversion"/>
  </si>
  <si>
    <t>(사)생명보험협회</t>
    <phoneticPr fontId="6" type="noConversion"/>
  </si>
  <si>
    <t xml:space="preserve">매년 1월 </t>
    <phoneticPr fontId="6" type="noConversion"/>
  </si>
  <si>
    <t>2023년 7,10,11월
2024년 7,10,11월
2025년 7,10,11월</t>
    <phoneticPr fontId="6" type="noConversion"/>
  </si>
  <si>
    <t>주식회사 케이티</t>
    <phoneticPr fontId="6" type="noConversion"/>
  </si>
  <si>
    <t>2025년 1,2월</t>
    <phoneticPr fontId="6" type="noConversion"/>
  </si>
  <si>
    <t>2024년 1,4,7월
2025년 1,4,7월
2026년 1,4,7월
2027년 1,4,7월
2028년 1,4,7월</t>
    <phoneticPr fontId="6" type="noConversion"/>
  </si>
  <si>
    <t>엘지유플러스</t>
    <phoneticPr fontId="6" type="noConversion"/>
  </si>
  <si>
    <t>2023년 12월
2024년 12월</t>
    <phoneticPr fontId="6" type="noConversion"/>
  </si>
  <si>
    <t>내츄럴헬스케어 주식회사</t>
    <phoneticPr fontId="6" type="noConversion"/>
  </si>
  <si>
    <t>2022년 10월</t>
    <phoneticPr fontId="6" type="noConversion"/>
  </si>
  <si>
    <t>특약 7조 회의실 무상사용</t>
    <phoneticPr fontId="6" type="noConversion"/>
  </si>
  <si>
    <t>18.86㎡ 면적</t>
    <phoneticPr fontId="6" type="noConversion"/>
  </si>
  <si>
    <t>2024년 5,6,10월
2025년 5,6,10월
2026년 5,6,10월</t>
    <phoneticPr fontId="6" type="noConversion"/>
  </si>
  <si>
    <t>의무임대차 기간 중도해지 불가, 중도해지 경과 후 4개월의 사전 서면 통지 후 중도해지 가능</t>
    <phoneticPr fontId="6" type="noConversion"/>
  </si>
  <si>
    <t>2024년 6,10월, 2025년 2월
2025년 6,10월, 2026년 2월
2026년 6,10월, 2027년 2월
2027년 6,10월, 2028년 2월</t>
    <phoneticPr fontId="6" type="noConversion"/>
  </si>
  <si>
    <t>2023년 7월 임대차 승계합의 진행
KB손해사정 -&gt; KB손해보험</t>
    <phoneticPr fontId="6" type="noConversion"/>
  </si>
  <si>
    <t>보증금 동결, 
매년 임대료 3%, 관리비 3% 인상</t>
    <phoneticPr fontId="6" type="noConversion"/>
  </si>
  <si>
    <r>
      <rPr>
        <strike/>
        <sz val="11"/>
        <color theme="1"/>
        <rFont val="KB금융 본문체 Light"/>
        <family val="3"/>
        <charset val="129"/>
      </rPr>
      <t>2023년 10월 2024년 1,2월
2024년 6월</t>
    </r>
    <r>
      <rPr>
        <sz val="11"/>
        <color theme="1"/>
        <rFont val="KB금융 본문체 Light"/>
        <family val="3"/>
        <charset val="129"/>
      </rPr>
      <t xml:space="preserve"> 2025년 1,2월
2025년 6월 2026년 1,2월
2026년 6월 2027년 1,2월
2027년 6월 2028년 1,2월</t>
    </r>
    <phoneticPr fontId="6" type="noConversion"/>
  </si>
  <si>
    <t>DB손해보험㈜</t>
    <phoneticPr fontId="6" type="noConversion"/>
  </si>
  <si>
    <r>
      <rPr>
        <strike/>
        <sz val="11"/>
        <color theme="1"/>
        <rFont val="KB금융 본문체 Light"/>
        <family val="3"/>
        <charset val="129"/>
      </rPr>
      <t>2024년 2,3월</t>
    </r>
    <r>
      <rPr>
        <sz val="11"/>
        <color theme="1"/>
        <rFont val="KB금융 본문체 Light"/>
        <family val="3"/>
        <charset val="129"/>
      </rPr>
      <t xml:space="preserve">
2025년 2,3월
2026년 2,3월
2027년 2,3월
2028년 2,3월</t>
    </r>
    <phoneticPr fontId="6" type="noConversion"/>
  </si>
  <si>
    <t>보증금 동결, 
 매년 임관리비 3% 인상</t>
    <phoneticPr fontId="6" type="noConversion"/>
  </si>
  <si>
    <t>2025년 2,3월
2026년 2,3월
2027년 2,3월
2028년 2,3월
2029년 2,3월</t>
    <phoneticPr fontId="6" type="noConversion"/>
  </si>
  <si>
    <t>2024년 5월분 임관리비 소급 적용하여 청구 및 납부</t>
    <phoneticPr fontId="6" type="noConversion"/>
  </si>
  <si>
    <r>
      <rPr>
        <strike/>
        <sz val="11"/>
        <color theme="1"/>
        <rFont val="KB금융 본문체 Light"/>
        <family val="3"/>
        <charset val="129"/>
      </rPr>
      <t>2023년 7,8월</t>
    </r>
    <r>
      <rPr>
        <sz val="11"/>
        <color theme="1"/>
        <rFont val="KB금융 본문체 Light"/>
        <family val="3"/>
        <charset val="129"/>
      </rPr>
      <t xml:space="preserve">
2024년 7,8월
2025년 7,8월</t>
    </r>
    <phoneticPr fontId="6" type="noConversion"/>
  </si>
  <si>
    <r>
      <rPr>
        <strike/>
        <sz val="11"/>
        <color theme="1"/>
        <rFont val="KB금융 본문체 Light"/>
        <family val="3"/>
        <charset val="129"/>
      </rPr>
      <t>2020년 3월 1~12일, 6,7,8,9,10월
2021년 3월 1~12일, 6,7,8,9,10월
2022년 3월 1~12일, 6,7,8,9,10월
2023년 3월 1~12일, 6,7,8,9,10월
2024년 3월 1~12일, 6</t>
    </r>
    <r>
      <rPr>
        <sz val="11"/>
        <color theme="1"/>
        <rFont val="KB금융 본문체 Light"/>
        <family val="3"/>
        <charset val="129"/>
      </rPr>
      <t>,7,8,9,10월</t>
    </r>
    <phoneticPr fontId="6" type="noConversion"/>
  </si>
  <si>
    <t>관리비 면제사항</t>
    <phoneticPr fontId="6" type="noConversion"/>
  </si>
  <si>
    <t>보증금 동결, 
임대료 3년차부터 임관리비 2% 인상</t>
    <phoneticPr fontId="6" type="noConversion"/>
  </si>
  <si>
    <r>
      <rPr>
        <strike/>
        <sz val="11"/>
        <color theme="1"/>
        <rFont val="KB금융 본문체 Light"/>
        <family val="3"/>
        <charset val="129"/>
      </rPr>
      <t>2021년 3,6,9,12월
2022년 3,6,9,12월
2023년 3,6,9,12월</t>
    </r>
    <r>
      <rPr>
        <sz val="11"/>
        <color theme="1"/>
        <rFont val="KB금융 본문체 Light"/>
        <family val="3"/>
        <charset val="129"/>
      </rPr>
      <t xml:space="preserve">
</t>
    </r>
    <r>
      <rPr>
        <strike/>
        <sz val="11"/>
        <color theme="1"/>
        <rFont val="KB금융 본문체 Light"/>
        <family val="3"/>
        <charset val="129"/>
      </rPr>
      <t>2024년 3,</t>
    </r>
    <r>
      <rPr>
        <sz val="11"/>
        <color theme="1"/>
        <rFont val="KB금융 본문체 Light"/>
        <family val="3"/>
        <charset val="129"/>
      </rPr>
      <t>6,9,12월</t>
    </r>
    <phoneticPr fontId="6" type="noConversion"/>
  </si>
  <si>
    <t>관리비 부과</t>
    <phoneticPr fontId="6" type="noConversion"/>
  </si>
  <si>
    <t>국민건강보험공단 서울강원지역본부</t>
    <phoneticPr fontId="6" type="noConversion"/>
  </si>
  <si>
    <t>의무임대차 기간 X</t>
    <phoneticPr fontId="6" type="noConversion"/>
  </si>
  <si>
    <t>제19조 1항과 같이 해지 시 보증금 2개월 기간동안 연 19% 비율 및 6개월 임관리비 위약벌 지급(보증금 공제 가능)</t>
    <phoneticPr fontId="6" type="noConversion"/>
  </si>
  <si>
    <t>B1</t>
    <phoneticPr fontId="6" type="noConversion"/>
  </si>
  <si>
    <t>델리아띠</t>
    <phoneticPr fontId="6" type="noConversion"/>
  </si>
  <si>
    <r>
      <rPr>
        <strike/>
        <sz val="11"/>
        <color theme="1"/>
        <rFont val="KB금융 본문체 Light"/>
        <family val="3"/>
        <charset val="129"/>
      </rPr>
      <t>2022년 9,10,11, 2023년 4월, 5월 1~15일
2023년 9,10,11, 2024년 4월, 5월 1~15일</t>
    </r>
    <r>
      <rPr>
        <sz val="11"/>
        <color theme="1"/>
        <rFont val="KB금융 본문체 Light"/>
        <family val="3"/>
        <charset val="129"/>
      </rPr>
      <t xml:space="preserve">
2024년 9,10,11, 2025년 4월, 5월 1~15일</t>
    </r>
    <phoneticPr fontId="6" type="noConversion"/>
  </si>
  <si>
    <t>라인업의원</t>
    <phoneticPr fontId="6" type="noConversion"/>
  </si>
  <si>
    <r>
      <rPr>
        <strike/>
        <sz val="11"/>
        <color theme="1"/>
        <rFont val="KB금융 본문체 Light"/>
        <family val="3"/>
        <charset val="129"/>
      </rPr>
      <t>2020년 12월 / 2021년 2,4,6,8,10 월
2021년 12월 / 2022년 2,4,6,8,10 월
2022년 12월 / 2023년 2,4,6,8,10 월
2023년 12월 / 2024년 2,4</t>
    </r>
    <r>
      <rPr>
        <sz val="11"/>
        <color theme="1"/>
        <rFont val="KB금융 본문체 Light"/>
        <family val="3"/>
        <charset val="129"/>
      </rPr>
      <t>,6,8,10 월
2024년 12월 / 2025년 2,4,6,8,10 월</t>
    </r>
    <phoneticPr fontId="6" type="noConversion"/>
  </si>
  <si>
    <t>저층부 전체면적</t>
    <phoneticPr fontId="6" type="noConversion"/>
  </si>
  <si>
    <t>Total</t>
    <phoneticPr fontId="6" type="noConversion"/>
  </si>
  <si>
    <t>전체면적</t>
    <phoneticPr fontId="6" type="noConversion"/>
  </si>
  <si>
    <t>Other</t>
    <phoneticPr fontId="6" type="noConversion"/>
  </si>
  <si>
    <t>Media</t>
    <phoneticPr fontId="6" type="noConversion"/>
  </si>
  <si>
    <t>스페이스애드</t>
    <phoneticPr fontId="6" type="noConversion"/>
  </si>
  <si>
    <t>해당사항 없음</t>
    <phoneticPr fontId="6" type="noConversion"/>
  </si>
  <si>
    <t>etc</t>
    <phoneticPr fontId="6" type="noConversion"/>
  </si>
  <si>
    <t>제이더블유웨스턴</t>
    <phoneticPr fontId="6" type="noConversion"/>
  </si>
  <si>
    <t>티앤더블유코리아</t>
    <phoneticPr fontId="6" type="noConversion"/>
  </si>
  <si>
    <t># Tenant Sorting(계약기준)</t>
    <phoneticPr fontId="6" type="noConversion"/>
  </si>
  <si>
    <t>NO.</t>
    <phoneticPr fontId="6" type="noConversion"/>
  </si>
  <si>
    <t>입주사</t>
    <phoneticPr fontId="6" type="noConversion"/>
  </si>
  <si>
    <t>전체
 점유율</t>
    <phoneticPr fontId="6" type="noConversion"/>
  </si>
  <si>
    <t>층간 사용 
전용률</t>
    <phoneticPr fontId="6" type="noConversion"/>
  </si>
  <si>
    <t>보증금설정</t>
    <phoneticPr fontId="6" type="noConversion"/>
  </si>
  <si>
    <t>금액비
(전체)</t>
    <phoneticPr fontId="6" type="noConversion"/>
  </si>
  <si>
    <t>계약기간(월)
면적가중평균</t>
    <phoneticPr fontId="6" type="noConversion"/>
  </si>
  <si>
    <t>면적비
(전체)</t>
    <phoneticPr fontId="6" type="noConversion"/>
  </si>
  <si>
    <t>면적비
(오피스)</t>
    <phoneticPr fontId="6" type="noConversion"/>
  </si>
  <si>
    <t>면적비
(리테일)</t>
    <phoneticPr fontId="6" type="noConversion"/>
  </si>
  <si>
    <t>평단</t>
    <phoneticPr fontId="6" type="noConversion"/>
  </si>
  <si>
    <t>보증금
(전체)</t>
    <phoneticPr fontId="6" type="noConversion"/>
  </si>
  <si>
    <t>월납입액</t>
    <phoneticPr fontId="6" type="noConversion"/>
  </si>
  <si>
    <t>총액</t>
    <phoneticPr fontId="6" type="noConversion"/>
  </si>
  <si>
    <t>명목
관리비</t>
    <phoneticPr fontId="6" type="noConversion"/>
  </si>
  <si>
    <t>3.3㎡</t>
  </si>
  <si>
    <t>원</t>
  </si>
  <si>
    <t>추가제공</t>
    <phoneticPr fontId="6" type="noConversion"/>
  </si>
  <si>
    <t>질권</t>
    <phoneticPr fontId="6" type="noConversion"/>
  </si>
  <si>
    <t>질권, 전세권 일부</t>
    <phoneticPr fontId="6" type="noConversion"/>
  </si>
  <si>
    <t>임대차 계약별 분할 예정</t>
    <phoneticPr fontId="6" type="noConversion"/>
  </si>
  <si>
    <t>삼성카드 면적배분</t>
    <phoneticPr fontId="6" type="noConversion"/>
  </si>
  <si>
    <t>삼카고 면적배분</t>
    <phoneticPr fontId="6" type="noConversion"/>
  </si>
  <si>
    <t>교보</t>
    <phoneticPr fontId="6" type="noConversion"/>
  </si>
  <si>
    <t>한화생명</t>
    <phoneticPr fontId="6" type="noConversion"/>
  </si>
  <si>
    <t>※ 임대 기간에 따른 표시</t>
    <phoneticPr fontId="6" type="noConversion"/>
  </si>
  <si>
    <t>: Service</t>
    <phoneticPr fontId="6" type="noConversion"/>
  </si>
  <si>
    <t>: 공 실</t>
    <phoneticPr fontId="6" type="noConversion"/>
  </si>
  <si>
    <t>: 2024</t>
    <phoneticPr fontId="6" type="noConversion"/>
  </si>
  <si>
    <t>: 2025</t>
    <phoneticPr fontId="6" type="noConversion"/>
  </si>
  <si>
    <t>: 2026</t>
    <phoneticPr fontId="6" type="noConversion"/>
  </si>
  <si>
    <t>: 2027</t>
    <phoneticPr fontId="6" type="noConversion"/>
  </si>
  <si>
    <t>: 2028</t>
    <phoneticPr fontId="6" type="noConversion"/>
  </si>
  <si>
    <t>: 2029</t>
    <phoneticPr fontId="6" type="noConversion"/>
  </si>
  <si>
    <t>: 2030</t>
    <phoneticPr fontId="6" type="noConversion"/>
  </si>
  <si>
    <t>Building GFA</t>
    <phoneticPr fontId="6" type="noConversion"/>
  </si>
  <si>
    <t>Leased Area</t>
    <phoneticPr fontId="6" type="noConversion"/>
  </si>
  <si>
    <t>Vacant Area</t>
    <phoneticPr fontId="6" type="noConversion"/>
  </si>
  <si>
    <t>Tenant(Leased Area)</t>
    <phoneticPr fontId="6" type="noConversion"/>
  </si>
  <si>
    <t>Gross</t>
    <phoneticPr fontId="6" type="noConversion"/>
  </si>
  <si>
    <t>Net</t>
    <phoneticPr fontId="6" type="noConversion"/>
  </si>
  <si>
    <t>py</t>
    <phoneticPr fontId="6" type="noConversion"/>
  </si>
  <si>
    <t>~</t>
    <phoneticPr fontId="6" type="noConversion"/>
  </si>
  <si>
    <t>Emergency Shelter</t>
    <phoneticPr fontId="6" type="noConversion"/>
  </si>
  <si>
    <t>Machine Room</t>
    <phoneticPr fontId="6" type="noConversion"/>
  </si>
  <si>
    <t>E/L Room</t>
    <phoneticPr fontId="6" type="noConversion"/>
  </si>
  <si>
    <t>엘비휴넷 주식회사</t>
  </si>
  <si>
    <t>Techno Mart</t>
    <phoneticPr fontId="6" type="noConversion"/>
  </si>
  <si>
    <t>Lobby</t>
    <phoneticPr fontId="6" type="noConversion"/>
  </si>
  <si>
    <t>델리아띠</t>
  </si>
  <si>
    <t>임대료 : 3%
 관리비 : 3%</t>
    <phoneticPr fontId="20" type="noConversion"/>
  </si>
  <si>
    <t>2-3) 당월 신규, 재계약 및 계약만료</t>
    <phoneticPr fontId="20" type="noConversion"/>
  </si>
  <si>
    <t>국민건강보험공단</t>
  </si>
  <si>
    <t>롯데손해보험</t>
  </si>
  <si>
    <t>웨스트레이크코리아주식회사</t>
  </si>
  <si>
    <t>웨스트레이크코리아㈜</t>
  </si>
  <si>
    <t>제이드벌유웨스턴</t>
    <phoneticPr fontId="8" type="noConversion"/>
  </si>
  <si>
    <t>2024.06</t>
    <phoneticPr fontId="8" type="noConversion"/>
  </si>
  <si>
    <t>2024.06</t>
  </si>
  <si>
    <t>11F 베네치아가든 분수대 방수 및 대리석 공사</t>
    <phoneticPr fontId="6" type="noConversion"/>
  </si>
  <si>
    <t xml:space="preserve"> 11F 베네치아가든 커튼월 방수 및 화단 철거후 대리석 마감</t>
    <phoneticPr fontId="6" type="noConversion"/>
  </si>
  <si>
    <t>공사내역</t>
    <phoneticPr fontId="16" type="noConversion"/>
  </si>
  <si>
    <t xml:space="preserve"> 분수대 내 몰탈 방수 및 우레탄 방수,
기존 대리석 철거 후 신규 설치</t>
    <phoneticPr fontId="6" type="noConversion"/>
  </si>
  <si>
    <t xml:space="preserve"> 커튼월 하부 몰탈 및 우레탄 방수,
기존 화단 철거 후 대리석 마감</t>
    <phoneticPr fontId="6" type="noConversion"/>
  </si>
  <si>
    <t xml:space="preserve"> 2024년 04월 17일 ~ 2024년 6월 12일</t>
    <phoneticPr fontId="6" type="noConversion"/>
  </si>
  <si>
    <t>강수로 공사 지연</t>
    <phoneticPr fontId="6" type="noConversion"/>
  </si>
  <si>
    <t xml:space="preserve"> 2024년 05월 01일 ~ 2024년 06월 12일</t>
    <phoneticPr fontId="6" type="noConversion"/>
  </si>
  <si>
    <t xml:space="preserve"> 2024년 상반기 건축물 정기안전점검</t>
  </si>
  <si>
    <t xml:space="preserve"> 2024년 실내공기질 측정</t>
  </si>
  <si>
    <t xml:space="preserve"> 신도림 테크노마트
[규모: 지하7층, 지상40층, 연면적= 305,934.2㎡]</t>
    <phoneticPr fontId="6" type="noConversion"/>
  </si>
  <si>
    <t>측정항목: 유지 기준(미세먼지 外 4개항목)
측정범위: 매장 4개소 (B1F,2F,4F,9F), 지하주차장 (B3F~B6F)</t>
    <phoneticPr fontId="6" type="noConversion"/>
  </si>
  <si>
    <t>매장 4EA,
지하주차장 4EA</t>
    <phoneticPr fontId="6" type="noConversion"/>
  </si>
  <si>
    <t xml:space="preserve"> 2024년 05월 31일 ~ 2024년 06월 20일</t>
  </si>
  <si>
    <t xml:space="preserve"> 2024년 05월 20일 ~ 2024년 06월 20일</t>
  </si>
  <si>
    <t xml:space="preserve"> 2024년 신도림테크노마트 상반기 저수조 청소</t>
  </si>
  <si>
    <t xml:space="preserve"> 2024년 정화조 청소 (6회중 3회차)</t>
  </si>
  <si>
    <t xml:space="preserve"> 고가수조 4기(15F 물탱크실 2기, 16F 중간기계실 2기),
 지하 저수조 2기(B7F 기계실 2기)</t>
    <phoneticPr fontId="6" type="noConversion"/>
  </si>
  <si>
    <t>고가수조 4EA,
지하저수조 2EA</t>
    <phoneticPr fontId="6" type="noConversion"/>
  </si>
  <si>
    <t xml:space="preserve"> 청소량 300톤</t>
  </si>
  <si>
    <t xml:space="preserve"> 2024년 04월 09일 </t>
  </si>
  <si>
    <t xml:space="preserve"> 2024년 06월 11일 (1일간)</t>
  </si>
  <si>
    <t>1. E/V 1,7,8호기 운행 이상 현상 확인 요청 - 유지보수 업체 수리를 통한 정상 운행</t>
    <phoneticPr fontId="8" type="noConversion"/>
  </si>
  <si>
    <t>2. 남, 여 양변기 배수구 막힘 및 누수 현상 - 교체 완료</t>
    <phoneticPr fontId="8" type="noConversion"/>
  </si>
  <si>
    <t>3. 출입문 소음 등 - 점검 및 보수 완료</t>
    <phoneticPr fontId="8" type="noConversion"/>
  </si>
  <si>
    <t>4. 전열불량 점검요청 - ELB 복구를 통한 점검 완료</t>
    <phoneticPr fontId="8" type="noConversion"/>
  </si>
  <si>
    <t>5. OA플로어 벌어짐 현상 - 보수 완료</t>
    <phoneticPr fontId="8" type="noConversion"/>
  </si>
  <si>
    <t>6. 바닥 카펫타일 교체 - 교체 완료</t>
    <phoneticPr fontId="8" type="noConversion"/>
  </si>
  <si>
    <t>미듐필터 교체</t>
  </si>
  <si>
    <t>2024.06</t>
    <phoneticPr fontId="6" type="noConversion"/>
  </si>
  <si>
    <t>세부내역 참조</t>
    <phoneticPr fontId="6" type="noConversion"/>
  </si>
  <si>
    <t>집합건물 승강기사고배상책임보험</t>
    <phoneticPr fontId="8" type="noConversion"/>
  </si>
  <si>
    <t>*집합건물 영업배상책임보험</t>
    <phoneticPr fontId="6" type="noConversion"/>
  </si>
  <si>
    <t>시설소유자 배상책임(대인)</t>
    <phoneticPr fontId="6" type="noConversion"/>
  </si>
  <si>
    <t xml:space="preserve">집합건물 관리비 
사무동 462,237원 매월 납부 </t>
    <phoneticPr fontId="6" type="noConversion"/>
  </si>
  <si>
    <t>시설소유자 배상책임(대물)</t>
    <phoneticPr fontId="6" type="noConversion"/>
  </si>
  <si>
    <t>구내치료비(대인)</t>
    <phoneticPr fontId="6" type="noConversion"/>
  </si>
  <si>
    <t>주차장배상책임(대인)</t>
    <phoneticPr fontId="6" type="noConversion"/>
  </si>
  <si>
    <t>주차장배상책임(대물)</t>
    <phoneticPr fontId="6" type="noConversion"/>
  </si>
  <si>
    <t>*집합건물 승강기배상책임보험</t>
    <phoneticPr fontId="6" type="noConversion"/>
  </si>
  <si>
    <t>승강기배상책임(대인)</t>
    <phoneticPr fontId="6" type="noConversion"/>
  </si>
  <si>
    <t>집합건물 관리비 
사무동 74,729원 매월 납부</t>
    <phoneticPr fontId="6" type="noConversion"/>
  </si>
  <si>
    <t>승강기배상책임(대물)</t>
    <phoneticPr fontId="6" type="noConversion"/>
  </si>
  <si>
    <t>별첨1 _ 질권설정 계좌정보 현황</t>
    <phoneticPr fontId="20" type="noConversion"/>
  </si>
  <si>
    <t>별첨2 _ 연간 시설점검계획</t>
    <phoneticPr fontId="20" type="noConversion"/>
  </si>
  <si>
    <t>별첨3 _ 장기수선충당금현황</t>
    <phoneticPr fontId="8" type="noConversion"/>
  </si>
  <si>
    <t>공실율</t>
    <phoneticPr fontId="38" type="noConversion"/>
  </si>
  <si>
    <t>3-2) 손익계산서(월간)</t>
    <phoneticPr fontId="6" type="noConversion"/>
  </si>
  <si>
    <t>3-2) 손익계산서(누적)</t>
    <phoneticPr fontId="6" type="noConversion"/>
  </si>
  <si>
    <t>1. 자 산 현 황</t>
    <phoneticPr fontId="16" type="noConversion"/>
  </si>
  <si>
    <t>4) 예산 - 실적 비교</t>
    <phoneticPr fontId="8" type="noConversion"/>
  </si>
  <si>
    <t>C o n t e n t s</t>
    <phoneticPr fontId="16" type="noConversion"/>
  </si>
  <si>
    <t>※ [신도림테크노마트㈜ 발송 장기수선충당금 잔액 확인 공문]</t>
    <phoneticPr fontId="8" type="noConversion"/>
  </si>
  <si>
    <t>직전 이자지급기간 기준
(24.03.01~24.05.31)</t>
    <phoneticPr fontId="8" type="noConversion"/>
  </si>
  <si>
    <t>제13기</t>
    <phoneticPr fontId="8" type="noConversion"/>
  </si>
  <si>
    <t>24년3월말</t>
    <phoneticPr fontId="8" type="noConversion"/>
  </si>
  <si>
    <r>
      <t>1. KB운용제1호리츠 제 13기(23.10~24.03)</t>
    </r>
    <r>
      <rPr>
        <sz val="11"/>
        <color theme="1"/>
        <rFont val="맑은 고딕"/>
        <family val="2"/>
        <charset val="129"/>
        <scheme val="minor"/>
      </rPr>
      <t xml:space="preserve"> 배당금 지급 완료</t>
    </r>
    <phoneticPr fontId="8" type="noConversion"/>
  </si>
  <si>
    <r>
      <t>2. KB</t>
    </r>
    <r>
      <rPr>
        <sz val="11"/>
        <color theme="1"/>
        <rFont val="맑은 고딕"/>
        <family val="2"/>
        <charset val="129"/>
        <scheme val="minor"/>
      </rPr>
      <t>운용제</t>
    </r>
    <r>
      <rPr>
        <sz val="11"/>
        <color theme="1"/>
        <rFont val="맑은 고딕"/>
        <family val="2"/>
        <charset val="129"/>
        <scheme val="minor"/>
      </rPr>
      <t>1</t>
    </r>
    <r>
      <rPr>
        <sz val="11"/>
        <color theme="1"/>
        <rFont val="맑은 고딕"/>
        <family val="2"/>
        <charset val="129"/>
        <scheme val="minor"/>
      </rPr>
      <t>호리츠</t>
    </r>
    <r>
      <rPr>
        <sz val="11"/>
        <color theme="1"/>
        <rFont val="맑은 고딕"/>
        <family val="2"/>
        <charset val="129"/>
        <scheme val="minor"/>
      </rPr>
      <t xml:space="preserve"> 2024년 2Q. 대주 이자 지급 완료</t>
    </r>
    <phoneticPr fontId="8" type="noConversion"/>
  </si>
  <si>
    <t>4. 여름철 폭우 풍수해 사전 준비 진행</t>
    <phoneticPr fontId="8" type="noConversion"/>
  </si>
  <si>
    <r>
      <t xml:space="preserve">5. </t>
    </r>
    <r>
      <rPr>
        <sz val="11"/>
        <color theme="1"/>
        <rFont val="맑은 고딕"/>
        <family val="2"/>
        <charset val="129"/>
        <scheme val="minor"/>
      </rPr>
      <t>B1F 리테일 층 스타벅스 입점 검토</t>
    </r>
    <phoneticPr fontId="8" type="noConversion"/>
  </si>
  <si>
    <r>
      <t>7</t>
    </r>
    <r>
      <rPr>
        <sz val="11"/>
        <color theme="1"/>
        <rFont val="맑은 고딕"/>
        <family val="2"/>
        <charset val="129"/>
        <scheme val="minor"/>
      </rPr>
      <t>. 신규/갱신 임대차계약 현황</t>
    </r>
    <phoneticPr fontId="6" type="noConversion"/>
  </si>
  <si>
    <t>임차인</t>
    <phoneticPr fontId="8" type="noConversion"/>
  </si>
  <si>
    <t>층</t>
    <phoneticPr fontId="8" type="noConversion"/>
  </si>
  <si>
    <t>계약기간</t>
    <phoneticPr fontId="6" type="noConversion"/>
  </si>
  <si>
    <t>비고</t>
    <phoneticPr fontId="6" type="noConversion"/>
  </si>
  <si>
    <t>신규계약</t>
    <phoneticPr fontId="6" type="noConversion"/>
  </si>
  <si>
    <t>재계약</t>
    <phoneticPr fontId="6" type="noConversion"/>
  </si>
  <si>
    <t>한화생명금융서비스</t>
    <phoneticPr fontId="6" type="noConversion"/>
  </si>
  <si>
    <t>삼성드림안과</t>
    <phoneticPr fontId="6" type="noConversion"/>
  </si>
  <si>
    <t>제니엘맥</t>
    <phoneticPr fontId="6" type="noConversion"/>
  </si>
  <si>
    <t>2024.08.01~2025.07.31</t>
    <phoneticPr fontId="6" type="noConversion"/>
  </si>
  <si>
    <t>`</t>
    <phoneticPr fontId="6" type="noConversion"/>
  </si>
  <si>
    <t>2024.08.01~2024.09.30</t>
    <phoneticPr fontId="6" type="noConversion"/>
  </si>
  <si>
    <t>6. 로비층 환경 개선 공사 검토</t>
    <phoneticPr fontId="8" type="noConversion"/>
  </si>
  <si>
    <t>3. PM사 안전보건 간담회 완료</t>
    <phoneticPr fontId="8" type="noConversion"/>
  </si>
  <si>
    <t>코람코 펀드명칭 확인(7월 월간보고서 부 변경)</t>
    <phoneticPr fontId="6" type="noConversion"/>
  </si>
  <si>
    <t>2024년 7월</t>
    <phoneticPr fontId="8" type="noConversion"/>
  </si>
  <si>
    <r>
      <t xml:space="preserve">  ♦ </t>
    </r>
    <r>
      <rPr>
        <b/>
        <sz val="11"/>
        <rFont val="KB금융 본문체 Light"/>
        <family val="3"/>
        <charset val="129"/>
      </rPr>
      <t xml:space="preserve"> 자산현황</t>
    </r>
    <phoneticPr fontId="20" type="noConversion"/>
  </si>
  <si>
    <r>
      <t>*</t>
    </r>
    <r>
      <rPr>
        <b/>
        <sz val="10"/>
        <color theme="1"/>
        <rFont val="KB금융 본문체 Light"/>
        <family val="3"/>
        <charset val="129"/>
      </rPr>
      <t>재산종합보험(패키지) 세부내역</t>
    </r>
    <phoneticPr fontId="6" type="noConversion"/>
  </si>
  <si>
    <t>임관리비총액</t>
    <phoneticPr fontId="20" type="noConversion"/>
  </si>
  <si>
    <t>(단위 : 평, 원, VAT 별도)</t>
    <phoneticPr fontId="20" type="noConversion"/>
  </si>
  <si>
    <t>(단위 : 월, 원, VAT 별도)</t>
    <phoneticPr fontId="6" type="noConversion"/>
  </si>
  <si>
    <t>E.NOC</t>
    <phoneticPr fontId="20" type="noConversion"/>
  </si>
  <si>
    <t>%</t>
    <phoneticPr fontId="20" type="noConversion"/>
  </si>
  <si>
    <t>신규계약</t>
    <phoneticPr fontId="20" type="noConversion"/>
  </si>
  <si>
    <t>확인</t>
    <phoneticPr fontId="6" type="noConversion"/>
  </si>
  <si>
    <r>
      <t xml:space="preserve">♦ 제세공과금 (케이비운용제1호 </t>
    </r>
    <r>
      <rPr>
        <sz val="10"/>
        <color indexed="8"/>
        <rFont val="KB금융 본문체 Light"/>
        <family val="3"/>
        <charset val="129"/>
      </rPr>
      <t>실제 납부금액)</t>
    </r>
    <phoneticPr fontId="16" type="noConversion"/>
  </si>
  <si>
    <t>요약 재무상태표(6월 말)</t>
    <phoneticPr fontId="8" type="noConversion"/>
  </si>
  <si>
    <t>요약 손익계산서 (6월)</t>
    <phoneticPr fontId="8" type="noConversion"/>
  </si>
  <si>
    <t>Net Operating Income (6월)</t>
    <phoneticPr fontId="8" type="noConversion"/>
  </si>
  <si>
    <t xml:space="preserve">    별 첨</t>
    <phoneticPr fontId="16" type="noConversion"/>
  </si>
  <si>
    <t>E. NOC</t>
    <phoneticPr fontId="38" type="noConversion"/>
  </si>
  <si>
    <t>코람코일반사모부동산투자신탁제157호의 신탁업자
(주식회사 신한은행)</t>
    <phoneticPr fontId="8" type="noConversion"/>
  </si>
  <si>
    <t>2024년 8월</t>
    <phoneticPr fontId="6" type="noConversion"/>
  </si>
  <si>
    <t>9월 30일 퇴거 예정</t>
    <phoneticPr fontId="6" type="noConversion"/>
  </si>
  <si>
    <t>전용 면적 관리비 1,425,000 별도 청구</t>
    <phoneticPr fontId="6" type="noConversion"/>
  </si>
  <si>
    <t>한화생명금융서비스</t>
  </si>
  <si>
    <t>32-3</t>
  </si>
  <si>
    <t>R.F 1개월(2024.08)</t>
  </si>
  <si>
    <t>국민건강보험공단</t>
    <phoneticPr fontId="20" type="noConversion"/>
  </si>
  <si>
    <t>㈜케이비손해보험</t>
    <phoneticPr fontId="20" type="noConversion"/>
  </si>
  <si>
    <t>8-4</t>
    <phoneticPr fontId="20" type="noConversion"/>
  </si>
  <si>
    <t>보증금</t>
    <phoneticPr fontId="20" type="noConversion"/>
  </si>
  <si>
    <t>임대료</t>
    <phoneticPr fontId="20" type="noConversion"/>
  </si>
  <si>
    <t>관리비</t>
    <phoneticPr fontId="20" type="noConversion"/>
  </si>
  <si>
    <t>라온약국</t>
    <phoneticPr fontId="20" type="noConversion"/>
  </si>
  <si>
    <t>10-1</t>
    <phoneticPr fontId="20" type="noConversion"/>
  </si>
  <si>
    <t>임대료 : 2%
 관리비 : 3%</t>
    <phoneticPr fontId="20" type="noConversion"/>
  </si>
  <si>
    <t>[정액 임대료 관리비 : '24.07.01 부과 ]</t>
    <phoneticPr fontId="8" type="noConversion"/>
  </si>
  <si>
    <t>2024.07.10</t>
  </si>
  <si>
    <t>2024.07.05</t>
  </si>
  <si>
    <t>2024.07.04</t>
  </si>
  <si>
    <t>2024.07.09</t>
  </si>
  <si>
    <t>2024.07.02</t>
  </si>
  <si>
    <t>2024.07.08</t>
  </si>
  <si>
    <t>2024.07.15</t>
  </si>
  <si>
    <t>2024.07.03</t>
  </si>
  <si>
    <t>임대료 : 3, 8, 9, 10, 11, 22~23, 32F 재계약 인상률 증가
 관리비 : 3, 8, 9, 10, 11, 22~23, 32F 재계약 인상률 증가</t>
    <phoneticPr fontId="6" type="noConversion"/>
  </si>
  <si>
    <r>
      <t xml:space="preserve">[추가 관리비 : '24.07.22 부과 → '24.07.31 수납완료] </t>
    </r>
    <r>
      <rPr>
        <b/>
        <sz val="9"/>
        <rFont val="KB금융 본문체 Light"/>
        <family val="3"/>
        <charset val="129"/>
      </rPr>
      <t>(*콘센트릭스_익월 20일까지 납부/이외 07.31일까지 납부 기한)</t>
    </r>
    <phoneticPr fontId="8" type="noConversion"/>
  </si>
  <si>
    <t>2024.07.26</t>
  </si>
  <si>
    <t>2024.07.29</t>
  </si>
  <si>
    <t>2024.07.25</t>
  </si>
  <si>
    <t>2024.07.23</t>
  </si>
  <si>
    <t>2024.07.22</t>
  </si>
  <si>
    <t>2024.07.31</t>
  </si>
  <si>
    <t>2024.07.24</t>
  </si>
  <si>
    <t>2024.07.30</t>
  </si>
  <si>
    <t>전년 동월 대비 기온 상승 및 입주사 추가냉난방 신청 증가</t>
    <phoneticPr fontId="6" type="noConversion"/>
  </si>
  <si>
    <t>제14기 2024년 07월 31일 현재</t>
    <phoneticPr fontId="8" type="noConversion"/>
  </si>
  <si>
    <t>2024.07</t>
  </si>
  <si>
    <t>2024.07</t>
    <phoneticPr fontId="8" type="noConversion"/>
  </si>
  <si>
    <t>제14기  2024년 05월 01일부터 2024년 07월 31일까지</t>
    <phoneticPr fontId="8" type="noConversion"/>
  </si>
  <si>
    <t>2024. 07월 기준</t>
    <phoneticPr fontId="6" type="noConversion"/>
  </si>
  <si>
    <t>누적 세부 (14기_24년 04월~24년 07월)</t>
    <phoneticPr fontId="6" type="noConversion"/>
  </si>
  <si>
    <t>자동재예치
여부</t>
    <phoneticPr fontId="31" type="noConversion"/>
  </si>
  <si>
    <t>29-31</t>
    <phoneticPr fontId="20" type="noConversion"/>
  </si>
  <si>
    <t>8</t>
    <phoneticPr fontId="31" type="noConversion"/>
  </si>
  <si>
    <t>33</t>
    <phoneticPr fontId="31" type="noConversion"/>
  </si>
  <si>
    <t>32</t>
    <phoneticPr fontId="31" type="noConversion"/>
  </si>
  <si>
    <t>200-987-098092</t>
    <phoneticPr fontId="31" type="noConversion"/>
  </si>
  <si>
    <t>한화생명금융서비스 질권설정계좌(32F-3)</t>
    <phoneticPr fontId="31" type="noConversion"/>
  </si>
  <si>
    <t>*300만원 미만 계좌는 자동재예치 설정 불가능</t>
    <phoneticPr fontId="31" type="noConversion"/>
  </si>
  <si>
    <t>↑ 반환금액</t>
    <phoneticPr fontId="31" type="noConversion"/>
  </si>
  <si>
    <t>Rent Roll_Bond</t>
    <phoneticPr fontId="31" type="noConversion"/>
  </si>
  <si>
    <t>Check</t>
    <phoneticPr fontId="31" type="noConversion"/>
  </si>
  <si>
    <t>2024.07.01 ~ 2024.07.31</t>
    <phoneticPr fontId="20" type="noConversion"/>
  </si>
  <si>
    <t>2024.07</t>
    <phoneticPr fontId="6" type="noConversion"/>
  </si>
  <si>
    <t>2024.07</t>
    <phoneticPr fontId="6" type="noConversion"/>
  </si>
  <si>
    <t>단순 누락에 의한 이월 발행(차월 합산)</t>
    <phoneticPr fontId="6" type="noConversion"/>
  </si>
  <si>
    <t>차월 이월 발행</t>
    <phoneticPr fontId="6" type="noConversion"/>
  </si>
  <si>
    <t>2024년 07월</t>
    <phoneticPr fontId="6" type="noConversion"/>
  </si>
  <si>
    <t>단순 누락에 의한 이월 발행(차월 합산), 건강보험공단 청소 비용 포함</t>
    <phoneticPr fontId="6" type="noConversion"/>
  </si>
  <si>
    <t>승강기 유지보수료+
전자세금계산서 대행료외+
지급수수료(고정성관리비, 실비성관리비 모두 포함)</t>
    <phoneticPr fontId="6" type="noConversion"/>
  </si>
  <si>
    <t>7월 청구액 차월 이월</t>
    <phoneticPr fontId="6" type="noConversion"/>
  </si>
  <si>
    <t>예산 대비 수선유지비, 수도광열비 비용 상승</t>
    <phoneticPr fontId="6" type="noConversion"/>
  </si>
  <si>
    <t>- 전년동월대비 : 전기사용량 12.7% 감소 / 전기요금 24.8% 감소
- 증감원인 : 전년동월대비 사용량 감소
  (kwh당 단가 = 2023년 07월: 141.97 / 2024년 07월: 144.62 / 증감율 : +1.87%)
- 삼성카드 항온 항습기 일부 OFF로 인한 사용량 감소</t>
    <phoneticPr fontId="16" type="noConversion"/>
  </si>
  <si>
    <t>- 전년동월대비 전용 사용량 : 26% 증가, 수도사용요금 7.4% 증가
- 증감원인 : 입주사 수도사용량 증가(기온 상승에 따른 수도 사용 증가 추정)</t>
    <phoneticPr fontId="16" type="noConversion"/>
  </si>
  <si>
    <t>- 전년동월대비 : 가스사용량 53.7% 증가, 가스사용요금 49.4% 증가
- 증감원인 : 전년동월대비 사용량 대폭 증가
  (사용량 ㎡ = 2023년 07월: 11,093 / 2024년 07월: 12,243 / 증감율 : +10.37%)
- 검침일 변동으로 인한 가스 사용시간 증가(2일)로 사용량 수치 증가</t>
    <phoneticPr fontId="16" type="noConversion"/>
  </si>
  <si>
    <t>Item</t>
  </si>
  <si>
    <t>Floor</t>
  </si>
  <si>
    <t>웨스크레이크코리아㈜</t>
  </si>
  <si>
    <t>콘센트릭스서비스코리아 유한회사</t>
  </si>
  <si>
    <t>신한금융플러스㈜</t>
  </si>
  <si>
    <t>아임플치과의원</t>
  </si>
  <si>
    <t>삼성드림안과(박상훈)</t>
  </si>
  <si>
    <t>PM Office</t>
  </si>
  <si>
    <t>주식회사 제니엘맥</t>
  </si>
  <si>
    <t>주식회사 제니엘맥(회의실)</t>
  </si>
  <si>
    <t>공실</t>
  </si>
  <si>
    <t>국민건강보험공단 서울강원지역본부</t>
  </si>
  <si>
    <t>현담</t>
  </si>
  <si>
    <t>(단위: 원)</t>
  </si>
  <si>
    <t>내츄럴헬스케어</t>
  </si>
  <si>
    <t>KB손해보험19,20,28F</t>
  </si>
  <si>
    <t>삼성카드 34-37F</t>
  </si>
  <si>
    <t>삼성카드 12F</t>
  </si>
  <si>
    <t>임대료 : 3%, 관리비 3% / R.F 삭제 / 청소비 인상</t>
    <phoneticPr fontId="20" type="noConversion"/>
  </si>
  <si>
    <t>Property
Management</t>
    <phoneticPr fontId="6" type="noConversion"/>
  </si>
  <si>
    <t>Facility
Management</t>
    <phoneticPr fontId="6" type="noConversion"/>
  </si>
  <si>
    <t>Leader</t>
    <phoneticPr fontId="20" type="noConversion"/>
  </si>
  <si>
    <t>PM'er</t>
    <phoneticPr fontId="6" type="noConversion"/>
  </si>
  <si>
    <t>Sub</t>
    <phoneticPr fontId="6" type="noConversion"/>
  </si>
  <si>
    <t>Account</t>
    <phoneticPr fontId="6" type="noConversion"/>
  </si>
  <si>
    <t>성함</t>
    <phoneticPr fontId="6" type="noConversion"/>
  </si>
  <si>
    <t>직급</t>
    <phoneticPr fontId="6" type="noConversion"/>
  </si>
  <si>
    <t>차장</t>
    <phoneticPr fontId="6" type="noConversion"/>
  </si>
  <si>
    <t>대리</t>
    <phoneticPr fontId="6" type="noConversion"/>
  </si>
  <si>
    <t>총 인원</t>
    <phoneticPr fontId="6" type="noConversion"/>
  </si>
  <si>
    <t>강지훈</t>
    <phoneticPr fontId="8" type="noConversion"/>
  </si>
  <si>
    <t>이우빈</t>
    <phoneticPr fontId="6" type="noConversion"/>
  </si>
  <si>
    <t>권구슬</t>
    <phoneticPr fontId="6" type="noConversion"/>
  </si>
  <si>
    <t>비고</t>
    <phoneticPr fontId="6" type="noConversion"/>
  </si>
  <si>
    <t>구분</t>
    <phoneticPr fontId="6" type="noConversion"/>
  </si>
  <si>
    <t>관리소장</t>
    <phoneticPr fontId="6" type="noConversion"/>
  </si>
  <si>
    <t>안내</t>
    <phoneticPr fontId="6" type="noConversion"/>
  </si>
  <si>
    <t>이동순</t>
    <phoneticPr fontId="6" type="noConversion"/>
  </si>
  <si>
    <t>보  안</t>
    <phoneticPr fontId="6" type="noConversion"/>
  </si>
  <si>
    <t>인원</t>
    <phoneticPr fontId="6" type="noConversion"/>
  </si>
  <si>
    <t>A조</t>
    <phoneticPr fontId="6" type="noConversion"/>
  </si>
  <si>
    <t>B조</t>
    <phoneticPr fontId="6" type="noConversion"/>
  </si>
  <si>
    <t>C조</t>
    <phoneticPr fontId="6" type="noConversion"/>
  </si>
  <si>
    <t>인원(명)</t>
    <phoneticPr fontId="6" type="noConversion"/>
  </si>
  <si>
    <t>미  화</t>
    <phoneticPr fontId="6" type="noConversion"/>
  </si>
  <si>
    <t>미화팀장</t>
    <phoneticPr fontId="6" type="noConversion"/>
  </si>
  <si>
    <t>주간</t>
    <phoneticPr fontId="6" type="noConversion"/>
  </si>
  <si>
    <t>야간</t>
    <phoneticPr fontId="6" type="noConversion"/>
  </si>
  <si>
    <t>미화반장</t>
    <phoneticPr fontId="6" type="noConversion"/>
  </si>
  <si>
    <t>오후</t>
    <phoneticPr fontId="6" type="noConversion"/>
  </si>
  <si>
    <t>보안,미화,안내</t>
    <phoneticPr fontId="6" type="noConversion"/>
  </si>
  <si>
    <t>집합건물 인원 현황</t>
    <phoneticPr fontId="6" type="noConversion"/>
  </si>
  <si>
    <t>교대근무</t>
    <phoneticPr fontId="6" type="noConversion"/>
  </si>
  <si>
    <t>관련법 개정</t>
  </si>
  <si>
    <t>3년1회</t>
  </si>
  <si>
    <t>3,11월</t>
  </si>
  <si>
    <t>2021년 실행</t>
  </si>
  <si>
    <t>2023년 실행</t>
  </si>
  <si>
    <r>
      <t xml:space="preserve">14. </t>
    </r>
    <r>
      <rPr>
        <sz val="10"/>
        <color rgb="FF000000"/>
        <rFont val="KB금융 본문체 Light"/>
        <family val="3"/>
        <charset val="129"/>
      </rPr>
      <t>온실가스 목표관리제 검증/이행계획서</t>
    </r>
  </si>
  <si>
    <t>장기수선충당금 산정방식</t>
    <phoneticPr fontId="31" type="noConversion"/>
  </si>
  <si>
    <t>본 자산 면적 (단위 : m²)</t>
    <phoneticPr fontId="6" type="noConversion"/>
  </si>
  <si>
    <t>원/㎡</t>
    <phoneticPr fontId="16" type="noConversion"/>
  </si>
  <si>
    <t>월 납부 금액</t>
    <phoneticPr fontId="16" type="noConversion"/>
  </si>
  <si>
    <t>*발생이자 제외 금액</t>
    <phoneticPr fontId="6" type="noConversion"/>
  </si>
  <si>
    <t>NO.</t>
    <phoneticPr fontId="6" type="noConversion"/>
  </si>
  <si>
    <t>Centre Point West</t>
    <phoneticPr fontId="31" type="noConversion"/>
  </si>
  <si>
    <t>신도림테크노마트</t>
    <phoneticPr fontId="31" type="noConversion"/>
  </si>
  <si>
    <t>전환에 관한 
사항</t>
    <phoneticPr fontId="8" type="noConversion"/>
  </si>
  <si>
    <t>생명보험협회</t>
    <phoneticPr fontId="6" type="noConversion"/>
  </si>
  <si>
    <t>Net operating Income(NOI)</t>
    <phoneticPr fontId="6" type="noConversion"/>
  </si>
  <si>
    <t>2022년</t>
    <phoneticPr fontId="6" type="noConversion"/>
  </si>
  <si>
    <t>우리카드</t>
    <phoneticPr fontId="6" type="noConversion"/>
  </si>
  <si>
    <t>총  괄</t>
    <phoneticPr fontId="6" type="noConversion"/>
  </si>
  <si>
    <t>그랜드센트럴
(Grand Central)</t>
  </si>
  <si>
    <t>그랜드센트럴
(Grand Central)</t>
    <phoneticPr fontId="6" type="noConversion"/>
  </si>
  <si>
    <t>부영빌딩</t>
    <phoneticPr fontId="6" type="noConversion"/>
  </si>
  <si>
    <t>1984
(2013)</t>
    <phoneticPr fontId="6" type="noConversion"/>
  </si>
  <si>
    <t>서부권</t>
    <phoneticPr fontId="6" type="noConversion"/>
  </si>
  <si>
    <t>CBD</t>
    <phoneticPr fontId="6" type="noConversion"/>
  </si>
  <si>
    <t>서울스퀘어</t>
    <phoneticPr fontId="6" type="noConversion"/>
  </si>
  <si>
    <t>1970
(2009)</t>
    <phoneticPr fontId="6" type="noConversion"/>
  </si>
  <si>
    <t>구분</t>
    <phoneticPr fontId="38" type="noConversion"/>
  </si>
  <si>
    <t>YBD</t>
    <phoneticPr fontId="6" type="noConversion"/>
  </si>
  <si>
    <t>파크원타워(1)</t>
    <phoneticPr fontId="6" type="noConversion"/>
  </si>
  <si>
    <t>오투타워</t>
    <phoneticPr fontId="6" type="noConversion"/>
  </si>
  <si>
    <t>BNK금융타워</t>
    <phoneticPr fontId="6" type="noConversion"/>
  </si>
  <si>
    <t>1998
(2019)</t>
    <phoneticPr fontId="6" type="noConversion"/>
  </si>
  <si>
    <t>에이원당산</t>
    <phoneticPr fontId="8" type="noConversion"/>
  </si>
  <si>
    <t>안  내</t>
    <phoneticPr fontId="6" type="noConversion"/>
  </si>
  <si>
    <t>※ 본 보고서는 부동산 운용의 성과분석을 위하여 참고 목적으로 작성된 것입니다.</t>
    <phoneticPr fontId="8" type="noConversion"/>
  </si>
  <si>
    <t>또한, 본 보고서는 매월 가결산 자료를 기초로 작성되었으며, 결산기말 회계감사 과정에서</t>
    <phoneticPr fontId="8" type="noConversion"/>
  </si>
  <si>
    <t>일부 수정사항이 발생할 수도 있음을 참고하여 주시기 바랍니다.</t>
    <phoneticPr fontId="6" type="noConversion"/>
  </si>
  <si>
    <t>2-1) Centre Point West_Rent Roll</t>
    <phoneticPr fontId="6" type="noConversion"/>
  </si>
  <si>
    <t>2-2) Centre Point West_Stacking Plan</t>
    <phoneticPr fontId="6" type="noConversion"/>
  </si>
  <si>
    <t>2024년 08월 월간보고서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</si>
</sst>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8">
    <numFmt numFmtId="41" formatCode="_-* #,##0_-;\-* #,##0_-;_-* &quot;-&quot;_-;_-@_-"/>
    <numFmt numFmtId="43" formatCode="_-* #,##0.00_-;\-* #,##0.00_-;_-* &quot;-&quot;??_-;_-@_-"/>
    <numFmt numFmtId="176" formatCode="0.0"/>
    <numFmt numFmtId="177" formatCode="0.0%"/>
    <numFmt numFmtId="178" formatCode="####&quot;년&quot;\ ##&quot;월&quot;"/>
    <numFmt numFmtId="179" formatCode="#,##0;&quot;△&quot;#,##0"/>
    <numFmt numFmtId="180" formatCode="yy&quot;-&quot;mm&quot;-&quot;dd"/>
    <numFmt numFmtId="181" formatCode="0_);[Red]\(0\)"/>
    <numFmt numFmtId="182" formatCode="yyyy\.mm\.dd"/>
    <numFmt numFmtId="183" formatCode="_-* #,##0_-;\-* #,##0_-;_-* &quot;-&quot;??_-;_-@_-"/>
    <numFmt numFmtId="184" formatCode="##&quot;월&quot;"/>
    <numFmt numFmtId="185" formatCode="_-* #,##0.000_-;\-* #,##0.000_-;_-* &quot;-&quot;??_-;_-@_-"/>
    <numFmt numFmtId="186" formatCode="#,##0_ "/>
    <numFmt numFmtId="187" formatCode="_(&quot;$&quot;* #,##0.00_);_(&quot;$&quot;* \(#,##0.00\);_(&quot;$&quot;* &quot;-&quot;??_);_(@_)"/>
    <numFmt numFmtId="188" formatCode="_-* #,##0.00_-;\-* #,##0.00_-;_-* &quot;-&quot;_-;_-@_-"/>
    <numFmt numFmtId="189" formatCode="#,##0_);[Red]\(#,##0\)"/>
    <numFmt numFmtId="190" formatCode="mm&quot;월&quot;\ dd&quot;일&quot;"/>
    <numFmt numFmtId="191" formatCode="_([$€-2]* #,##0.00_);_([$€-2]* \(#,##0.00\);_([$€-2]* &quot;-&quot;??_)"/>
    <numFmt numFmtId="192" formatCode="#,##0.00_ "/>
    <numFmt numFmtId="193" formatCode="_-* #,##0.000_-;\-* #,##0.000_-;_-* &quot;-&quot;_-;_-@_-"/>
    <numFmt numFmtId="194" formatCode="_(* #,##0_);_(* \(#,##0\);_(* &quot;-&quot;_);_(@_)"/>
    <numFmt numFmtId="195" formatCode="#,##0.00\ &quot;㎡&quot;"/>
    <numFmt numFmtId="196" formatCode="#,##0_);\(#,##0\)"/>
    <numFmt numFmtId="197" formatCode="yyyy&quot;-&quot;m&quot;-&quot;d;@"/>
    <numFmt numFmtId="198" formatCode="yy/mm/dd"/>
    <numFmt numFmtId="199" formatCode="0.0000%"/>
    <numFmt numFmtId="200" formatCode="&quot;$&quot;#,##0.00"/>
    <numFmt numFmtId="201" formatCode="_-* #,##0.0000_-;\-* #,##0.0000_-;_-* &quot;-&quot;_-;_-@_-"/>
    <numFmt numFmtId="202" formatCode="yyyy&quot;년&quot;\ m&quot;월&quot;\ d&quot;일&quot;;@"/>
    <numFmt numFmtId="203" formatCode="_-* #,##0,,_-;&quot;△&quot;\ #,##0,,_-;_-* &quot;-&quot;_-;_-@_-"/>
    <numFmt numFmtId="204" formatCode="#,##0,,"/>
    <numFmt numFmtId="205" formatCode="_-* #,##0,,_-;\ #,##0,,_-;_-* &quot;-&quot;_-;_-@_-"/>
    <numFmt numFmtId="206" formatCode="yyyy&quot;년&quot;\ m&quot;월&quot;;@"/>
    <numFmt numFmtId="207" formatCode="_-* #,##0,_-;\-* #,##0,_-;_-* &quot;-&quot;_-;_-@_-"/>
    <numFmt numFmtId="208" formatCode="[$-409]mmm/yy;@"/>
    <numFmt numFmtId="209" formatCode="_-* #,##0.00000,,_-;&quot;△&quot;\ #,##0.00000,,_-;_-* &quot;-&quot;_-;_-@_-"/>
    <numFmt numFmtId="210" formatCode="_-* #,##0.00,_-;\-* #,##0.00,_-;_-* &quot;-&quot;_-;_-@_-"/>
    <numFmt numFmtId="211" formatCode="_-* #,##0.0000000,,_-;&quot;△&quot;\ #,##0.0000000,,_-;_-* &quot;-&quot;_-;_-@_-"/>
    <numFmt numFmtId="212" formatCode="[Red]#,##0;[Blue]&quot;▽&quot;#,##0"/>
    <numFmt numFmtId="213" formatCode="_-* #,##0.00,,_-;&quot;△&quot;\ #,##0.00,,_-;_-* &quot;-&quot;_-;_-@_-"/>
    <numFmt numFmtId="214" formatCode="_-* #,##0.000000,,_-;&quot;△&quot;\ #,##0.000000,,_-;_-* &quot;-&quot;_-;_-@_-"/>
    <numFmt numFmtId="215" formatCode="[$-409]mmm\/yy;@"/>
    <numFmt numFmtId="216" formatCode="#,##0\ ;[Red]\(#,##0\);&quot;- &quot;"/>
    <numFmt numFmtId="217" formatCode="#,##0.0\ ;[Red]\(#,##0.0\);&quot;- &quot;"/>
    <numFmt numFmtId="218" formatCode="0.00\ %"/>
    <numFmt numFmtId="219" formatCode="#0.00\ &quot;년&quot;"/>
    <numFmt numFmtId="220" formatCode="#.0&quot;년&quot;"/>
    <numFmt numFmtId="221" formatCode="#&quot;개월&quot;"/>
    <numFmt numFmtId="222" formatCode="#.0&quot;개월&quot;"/>
    <numFmt numFmtId="223" formatCode="#.0\ &quot;대&quot;"/>
    <numFmt numFmtId="224" formatCode="#\ &quot;대&quot;"/>
    <numFmt numFmtId="225" formatCode="#\ &quot;일&quot;"/>
    <numFmt numFmtId="226" formatCode="#.00\ &quot;대&quot;"/>
    <numFmt numFmtId="227" formatCode="0#.0&quot;개월&quot;"/>
    <numFmt numFmtId="228" formatCode="#.00&quot;개월&quot;"/>
    <numFmt numFmtId="229" formatCode="0.00000000%"/>
    <numFmt numFmtId="230" formatCode="#0.00&quot;개월&quot;"/>
    <numFmt numFmtId="231" formatCode="#\ &quot;명&quot;"/>
  </numFmts>
  <fonts count="245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6"/>
      <color theme="0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6"/>
      <color theme="1"/>
      <name val="맑은 고딕"/>
      <family val="3"/>
      <charset val="129"/>
      <scheme val="minor"/>
    </font>
    <font>
      <sz val="16"/>
      <color theme="0"/>
      <name val="맑은 고딕"/>
      <family val="3"/>
      <charset val="129"/>
      <scheme val="minor"/>
    </font>
    <font>
      <sz val="12"/>
      <color theme="1"/>
      <name val="맑은 고딕"/>
      <family val="2"/>
      <charset val="129"/>
      <scheme val="minor"/>
    </font>
    <font>
      <sz val="12"/>
      <color theme="1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0"/>
      <color theme="1"/>
      <name val="바탕체"/>
      <family val="1"/>
      <charset val="129"/>
    </font>
    <font>
      <sz val="11"/>
      <color indexed="8"/>
      <name val="맑은 고딕"/>
      <family val="3"/>
      <charset val="129"/>
    </font>
    <font>
      <b/>
      <sz val="11"/>
      <color indexed="8"/>
      <name val="맑은 고딕"/>
      <family val="3"/>
      <charset val="129"/>
    </font>
    <font>
      <sz val="10"/>
      <color theme="1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sz val="8"/>
      <name val="돋움"/>
      <family val="3"/>
      <charset val="129"/>
    </font>
    <font>
      <sz val="10"/>
      <color indexed="8"/>
      <name val="맑은 고딕"/>
      <family val="3"/>
      <charset val="129"/>
    </font>
    <font>
      <b/>
      <sz val="11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</font>
    <font>
      <sz val="9"/>
      <color theme="1"/>
      <name val="맑은 고딕"/>
      <family val="3"/>
      <charset val="129"/>
      <scheme val="minor"/>
    </font>
    <font>
      <b/>
      <sz val="10"/>
      <name val="맑은 고딕"/>
      <family val="3"/>
      <charset val="129"/>
      <scheme val="major"/>
    </font>
    <font>
      <b/>
      <sz val="11"/>
      <name val="맑은 고딕"/>
      <family val="3"/>
      <charset val="129"/>
      <scheme val="major"/>
    </font>
    <font>
      <sz val="11"/>
      <name val="돋움"/>
      <family val="3"/>
      <charset val="129"/>
    </font>
    <font>
      <sz val="9"/>
      <name val="맑은 고딕"/>
      <family val="3"/>
      <charset val="129"/>
      <scheme val="minor"/>
    </font>
    <font>
      <sz val="9"/>
      <color indexed="8"/>
      <name val="맑은 고딕"/>
      <family val="3"/>
      <charset val="129"/>
      <scheme val="minor"/>
    </font>
    <font>
      <sz val="10"/>
      <name val="돋움"/>
      <family val="3"/>
      <charset val="129"/>
    </font>
    <font>
      <sz val="8"/>
      <name val="맑은 고딕"/>
      <family val="3"/>
      <charset val="129"/>
    </font>
    <font>
      <sz val="10"/>
      <color theme="1"/>
      <name val="맑은 고딕"/>
      <family val="2"/>
      <charset val="129"/>
      <scheme val="minor"/>
    </font>
    <font>
      <sz val="11"/>
      <name val="GE Inspira"/>
      <family val="2"/>
    </font>
    <font>
      <sz val="9"/>
      <color indexed="81"/>
      <name val="돋움"/>
      <family val="3"/>
      <charset val="129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10"/>
      <name val="Arial"/>
      <family val="2"/>
    </font>
    <font>
      <sz val="9"/>
      <name val="맑은 고딕"/>
      <family val="3"/>
      <charset val="129"/>
    </font>
    <font>
      <sz val="8"/>
      <name val="Arial"/>
      <family val="2"/>
    </font>
    <font>
      <b/>
      <sz val="14"/>
      <color indexed="8"/>
      <name val="맑은 고딕"/>
      <family val="3"/>
      <charset val="129"/>
    </font>
    <font>
      <sz val="10"/>
      <name val="맑은 고딕"/>
      <family val="3"/>
      <charset val="129"/>
    </font>
    <font>
      <sz val="11"/>
      <name val="맑은 고딕"/>
      <family val="3"/>
      <charset val="129"/>
    </font>
    <font>
      <b/>
      <sz val="10"/>
      <name val="맑은 고딕"/>
      <family val="3"/>
      <charset val="129"/>
    </font>
    <font>
      <b/>
      <sz val="8"/>
      <name val="맑은 고딕"/>
      <family val="3"/>
      <charset val="129"/>
    </font>
    <font>
      <b/>
      <sz val="10"/>
      <color theme="1"/>
      <name val="맑은 고딕"/>
      <family val="3"/>
      <charset val="129"/>
    </font>
    <font>
      <b/>
      <sz val="10"/>
      <color indexed="81"/>
      <name val="맑은 고딕"/>
      <family val="3"/>
      <charset val="129"/>
      <scheme val="major"/>
    </font>
    <font>
      <sz val="11"/>
      <color theme="1"/>
      <name val="맑은 고딕"/>
      <family val="3"/>
      <charset val="129"/>
    </font>
    <font>
      <sz val="9"/>
      <color indexed="63"/>
      <name val="맑은 고딕"/>
      <family val="3"/>
      <charset val="129"/>
    </font>
    <font>
      <sz val="9"/>
      <color theme="1"/>
      <name val="맑은 고딕"/>
      <family val="3"/>
      <charset val="129"/>
    </font>
    <font>
      <sz val="8"/>
      <color indexed="63"/>
      <name val="맑은 고딕"/>
      <family val="3"/>
      <charset val="129"/>
    </font>
    <font>
      <sz val="8"/>
      <color theme="1"/>
      <name val="맑은 고딕"/>
      <family val="3"/>
      <charset val="129"/>
    </font>
    <font>
      <sz val="1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</font>
    <font>
      <b/>
      <sz val="10"/>
      <color indexed="8"/>
      <name val="맑은 고딕"/>
      <family val="3"/>
      <charset val="129"/>
    </font>
    <font>
      <b/>
      <u/>
      <sz val="16"/>
      <name val="맑은 고딕"/>
      <family val="3"/>
      <charset val="129"/>
      <scheme val="minor"/>
    </font>
    <font>
      <b/>
      <sz val="10"/>
      <color rgb="FFFFFFFF"/>
      <name val="맑은 고딕"/>
      <family val="3"/>
      <charset val="129"/>
      <scheme val="minor"/>
    </font>
    <font>
      <b/>
      <sz val="10"/>
      <color theme="0"/>
      <name val="맑은 고딕"/>
      <family val="3"/>
      <charset val="129"/>
      <scheme val="minor"/>
    </font>
    <font>
      <sz val="10"/>
      <color rgb="FF0000FF"/>
      <name val="맑은 고딕"/>
      <family val="2"/>
      <charset val="129"/>
      <scheme val="minor"/>
    </font>
    <font>
      <b/>
      <sz val="8.5"/>
      <name val="맑은 고딕"/>
      <family val="3"/>
      <charset val="129"/>
    </font>
    <font>
      <sz val="8"/>
      <name val="Times New Roman"/>
      <family val="1"/>
    </font>
    <font>
      <b/>
      <u/>
      <sz val="16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</font>
    <font>
      <b/>
      <sz val="10"/>
      <name val="맑은 고딕"/>
      <family val="3"/>
      <charset val="129"/>
      <scheme val="minor"/>
    </font>
    <font>
      <sz val="10"/>
      <color rgb="FFFF0000"/>
      <name val="맑은 고딕"/>
      <family val="3"/>
      <charset val="129"/>
    </font>
    <font>
      <u/>
      <sz val="11"/>
      <color theme="10"/>
      <name val="맑은 고딕"/>
      <family val="3"/>
      <charset val="129"/>
    </font>
    <font>
      <sz val="10"/>
      <name val="명조"/>
      <family val="3"/>
      <charset val="129"/>
    </font>
    <font>
      <b/>
      <sz val="11"/>
      <color indexed="9"/>
      <name val="맑은 고딕"/>
      <family val="3"/>
      <charset val="129"/>
    </font>
    <font>
      <b/>
      <sz val="11"/>
      <color indexed="61"/>
      <name val="맑은 고딕"/>
      <family val="3"/>
      <charset val="129"/>
    </font>
    <font>
      <sz val="11"/>
      <color rgb="FF000000"/>
      <name val="맑은 고딕"/>
      <family val="2"/>
      <charset val="129"/>
      <scheme val="minor"/>
    </font>
    <font>
      <sz val="11"/>
      <name val="ＭＳ Ｐゴシック"/>
      <family val="2"/>
      <charset val="128"/>
    </font>
    <font>
      <sz val="10"/>
      <name val="Times New Roman"/>
      <family val="1"/>
    </font>
    <font>
      <b/>
      <sz val="11"/>
      <color indexed="8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sz val="11"/>
      <color indexed="81"/>
      <name val="돋움"/>
      <family val="3"/>
      <charset val="129"/>
    </font>
    <font>
      <sz val="12"/>
      <color indexed="81"/>
      <name val="돋움"/>
      <family val="3"/>
      <charset val="129"/>
    </font>
    <font>
      <b/>
      <sz val="10"/>
      <color rgb="FFFF0000"/>
      <name val="맑은 고딕"/>
      <family val="3"/>
      <charset val="129"/>
    </font>
    <font>
      <sz val="10"/>
      <color theme="1" tint="0.249977111117893"/>
      <name val="맑은 고딕"/>
      <family val="3"/>
      <charset val="129"/>
    </font>
    <font>
      <b/>
      <sz val="10"/>
      <color theme="1" tint="0.249977111117893"/>
      <name val="맑은 고딕"/>
      <family val="3"/>
      <charset val="129"/>
    </font>
    <font>
      <b/>
      <sz val="14"/>
      <color theme="1"/>
      <name val="맑은 고딕"/>
      <family val="3"/>
      <charset val="129"/>
    </font>
    <font>
      <b/>
      <i/>
      <sz val="11"/>
      <name val="맑은 고딕"/>
      <family val="3"/>
      <charset val="129"/>
    </font>
    <font>
      <sz val="11"/>
      <color indexed="81"/>
      <name val="Tahoma"/>
      <family val="2"/>
    </font>
    <font>
      <b/>
      <sz val="11"/>
      <color indexed="81"/>
      <name val="돋움"/>
      <family val="3"/>
      <charset val="129"/>
    </font>
    <font>
      <sz val="10"/>
      <color indexed="81"/>
      <name val="맑은 고딕"/>
      <family val="3"/>
      <charset val="129"/>
      <scheme val="major"/>
    </font>
    <font>
      <sz val="11"/>
      <color indexed="81"/>
      <name val="맑은 고딕"/>
      <family val="3"/>
      <charset val="129"/>
      <scheme val="major"/>
    </font>
    <font>
      <sz val="9"/>
      <color rgb="FFFF0000"/>
      <name val="맑은 고딕"/>
      <family val="3"/>
      <charset val="129"/>
    </font>
    <font>
      <sz val="11"/>
      <color rgb="FF0000FF"/>
      <name val="맑은 고딕"/>
      <family val="3"/>
      <charset val="129"/>
    </font>
    <font>
      <b/>
      <sz val="9"/>
      <color rgb="FF000000"/>
      <name val="Tahoma"/>
      <family val="2"/>
    </font>
    <font>
      <b/>
      <sz val="9"/>
      <color rgb="FF000000"/>
      <name val="돋움"/>
      <family val="3"/>
      <charset val="129"/>
    </font>
    <font>
      <sz val="11"/>
      <color indexed="62"/>
      <name val="맑은 고딕"/>
      <family val="3"/>
      <charset val="129"/>
      <scheme val="minor"/>
    </font>
    <font>
      <b/>
      <sz val="11"/>
      <color indexed="62"/>
      <name val="맑은 고딕"/>
      <family val="3"/>
      <charset val="129"/>
      <scheme val="minor"/>
    </font>
    <font>
      <b/>
      <sz val="11"/>
      <color indexed="18"/>
      <name val="맑은 고딕"/>
      <family val="3"/>
      <charset val="129"/>
      <scheme val="minor"/>
    </font>
    <font>
      <sz val="10"/>
      <color indexed="63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color indexed="63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b/>
      <sz val="10"/>
      <color indexed="9"/>
      <name val="맑은 고딕"/>
      <family val="3"/>
      <charset val="129"/>
      <scheme val="minor"/>
    </font>
    <font>
      <sz val="11"/>
      <color indexed="63"/>
      <name val="맑은 고딕"/>
      <family val="3"/>
      <charset val="129"/>
      <scheme val="minor"/>
    </font>
    <font>
      <sz val="9"/>
      <color indexed="6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sz val="9"/>
      <color rgb="FF0000FF"/>
      <name val="맑은 고딕"/>
      <family val="3"/>
      <charset val="129"/>
    </font>
    <font>
      <b/>
      <sz val="15"/>
      <color theme="1"/>
      <name val="KB금융 제목체 Bold"/>
      <family val="3"/>
      <charset val="129"/>
    </font>
    <font>
      <b/>
      <sz val="12"/>
      <color theme="1"/>
      <name val="KB금융 제목체 Bold"/>
      <family val="3"/>
      <charset val="129"/>
    </font>
    <font>
      <b/>
      <sz val="11"/>
      <color theme="1"/>
      <name val="KB금융 제목체 Bold"/>
      <family val="3"/>
      <charset val="129"/>
    </font>
    <font>
      <sz val="11"/>
      <color theme="1"/>
      <name val="KB금융 본문체 Medium"/>
      <family val="3"/>
      <charset val="129"/>
    </font>
    <font>
      <b/>
      <sz val="11"/>
      <color theme="1"/>
      <name val="KB금융 본문체 Medium"/>
      <family val="3"/>
      <charset val="129"/>
    </font>
    <font>
      <sz val="9.35"/>
      <color theme="1"/>
      <name val="KB금융 본문체 Medium"/>
      <family val="3"/>
      <charset val="129"/>
    </font>
    <font>
      <sz val="11"/>
      <color theme="1"/>
      <name val="KB금융 본문체 Light"/>
      <family val="3"/>
      <charset val="129"/>
    </font>
    <font>
      <sz val="11"/>
      <color theme="0" tint="-0.249977111117893"/>
      <name val="KB금융 본문체 Light"/>
      <family val="3"/>
      <charset val="129"/>
    </font>
    <font>
      <sz val="11"/>
      <color theme="0" tint="-0.14999847407452621"/>
      <name val="KB금융 본문체 Light"/>
      <family val="3"/>
      <charset val="129"/>
    </font>
    <font>
      <sz val="11"/>
      <name val="KB금융 본문체 Light"/>
      <family val="3"/>
      <charset val="129"/>
    </font>
    <font>
      <b/>
      <sz val="16"/>
      <name val="KB금융 본문체 Light"/>
      <family val="3"/>
      <charset val="129"/>
    </font>
    <font>
      <b/>
      <sz val="11"/>
      <color theme="1"/>
      <name val="KB금융 본문체 Light"/>
      <family val="3"/>
      <charset val="129"/>
    </font>
    <font>
      <sz val="11"/>
      <color rgb="FF0000FF"/>
      <name val="KB금융 본문체 Light"/>
      <family val="3"/>
      <charset val="129"/>
    </font>
    <font>
      <b/>
      <sz val="11"/>
      <name val="KB금융 본문체 Light"/>
      <family val="3"/>
      <charset val="129"/>
    </font>
    <font>
      <b/>
      <sz val="14"/>
      <color theme="1"/>
      <name val="KB금융 본문체 Light"/>
      <family val="3"/>
      <charset val="129"/>
    </font>
    <font>
      <b/>
      <sz val="10"/>
      <name val="KB금융 본문체 Light"/>
      <family val="3"/>
      <charset val="129"/>
    </font>
    <font>
      <b/>
      <sz val="10"/>
      <color theme="1"/>
      <name val="KB금융 본문체 Light"/>
      <family val="3"/>
      <charset val="129"/>
    </font>
    <font>
      <b/>
      <sz val="12"/>
      <name val="KB금융 제목체 Bold"/>
      <family val="3"/>
      <charset val="129"/>
    </font>
    <font>
      <b/>
      <sz val="12"/>
      <name val="KB금융 본문체 Light"/>
      <family val="3"/>
      <charset val="129"/>
    </font>
    <font>
      <b/>
      <sz val="14"/>
      <color theme="1"/>
      <name val="KB금융 제목체 Bold"/>
      <family val="3"/>
      <charset val="129"/>
    </font>
    <font>
      <b/>
      <sz val="11"/>
      <color rgb="FF0000FF"/>
      <name val="KB금융 본문체 Light"/>
      <family val="3"/>
      <charset val="129"/>
    </font>
    <font>
      <strike/>
      <sz val="11"/>
      <color theme="1"/>
      <name val="KB금융 본문체 Light"/>
      <family val="3"/>
      <charset val="129"/>
    </font>
    <font>
      <b/>
      <sz val="14"/>
      <name val="KB금융 본문체 Light"/>
      <family val="3"/>
      <charset val="129"/>
    </font>
    <font>
      <b/>
      <sz val="11"/>
      <name val="KB금융 제목체 Bold"/>
      <family val="3"/>
      <charset val="129"/>
    </font>
    <font>
      <b/>
      <sz val="21"/>
      <color theme="1"/>
      <name val="KB금융 본문체 Light"/>
      <family val="3"/>
      <charset val="129"/>
    </font>
    <font>
      <sz val="9"/>
      <color theme="1"/>
      <name val="KB금융 본문체 Light"/>
      <family val="3"/>
      <charset val="129"/>
    </font>
    <font>
      <sz val="12"/>
      <color rgb="FF0000FF"/>
      <name val="KB금융 본문체 Light"/>
      <family val="3"/>
      <charset val="129"/>
    </font>
    <font>
      <b/>
      <sz val="12"/>
      <color theme="1"/>
      <name val="KB금융 본문체 Light"/>
      <family val="3"/>
      <charset val="129"/>
    </font>
    <font>
      <sz val="12"/>
      <color theme="1"/>
      <name val="KB금융 본문체 Light"/>
      <family val="3"/>
      <charset val="129"/>
    </font>
    <font>
      <sz val="12"/>
      <name val="KB금융 본문체 Light"/>
      <family val="3"/>
      <charset val="129"/>
    </font>
    <font>
      <b/>
      <sz val="12"/>
      <color rgb="FF0000FF"/>
      <name val="KB금융 본문체 Light"/>
      <family val="3"/>
      <charset val="129"/>
    </font>
    <font>
      <sz val="10"/>
      <color theme="1"/>
      <name val="KB금융 본문체 Light"/>
      <family val="3"/>
      <charset val="129"/>
    </font>
    <font>
      <sz val="10"/>
      <color rgb="FF0000FF"/>
      <name val="KB금융 본문체 Light"/>
      <family val="3"/>
      <charset val="129"/>
    </font>
    <font>
      <b/>
      <sz val="9"/>
      <color rgb="FF000000"/>
      <name val="굴림"/>
      <family val="3"/>
      <charset val="129"/>
    </font>
    <font>
      <sz val="14"/>
      <color theme="1"/>
      <name val="맑은 고딕"/>
      <family val="3"/>
      <charset val="129"/>
    </font>
    <font>
      <sz val="14"/>
      <color theme="1"/>
      <name val="맑은 고딕"/>
      <family val="3"/>
      <charset val="129"/>
      <scheme val="minor"/>
    </font>
    <font>
      <b/>
      <u/>
      <sz val="14"/>
      <color theme="1"/>
      <name val="맑은 고딕"/>
      <family val="3"/>
      <charset val="129"/>
      <scheme val="minor"/>
    </font>
    <font>
      <b/>
      <sz val="15"/>
      <color indexed="8"/>
      <name val="KB금융 본문체 Medium"/>
      <family val="3"/>
      <charset val="129"/>
    </font>
    <font>
      <sz val="11"/>
      <color indexed="8"/>
      <name val="KB금융 본문체 Medium"/>
      <family val="3"/>
      <charset val="129"/>
    </font>
    <font>
      <b/>
      <sz val="11"/>
      <color indexed="8"/>
      <name val="KB금융 본문체 Medium"/>
      <family val="3"/>
      <charset val="129"/>
    </font>
    <font>
      <b/>
      <sz val="20"/>
      <name val="KB금융 제목체 Bold"/>
      <family val="3"/>
      <charset val="129"/>
    </font>
    <font>
      <sz val="20"/>
      <color theme="1"/>
      <name val="KB금융 제목체 Bold"/>
      <family val="3"/>
      <charset val="129"/>
    </font>
    <font>
      <sz val="11"/>
      <color indexed="8"/>
      <name val="KB금융 본문체 Light"/>
      <family val="3"/>
      <charset val="129"/>
    </font>
    <font>
      <b/>
      <sz val="11"/>
      <color indexed="8"/>
      <name val="KB금융 본문체 Light"/>
      <family val="3"/>
      <charset val="129"/>
    </font>
    <font>
      <sz val="14"/>
      <color theme="1"/>
      <name val="KB금융 제목체 Bold"/>
      <family val="3"/>
      <charset val="129"/>
    </font>
    <font>
      <sz val="11"/>
      <name val="KB금융 본문체 Medium"/>
      <family val="3"/>
      <charset val="129"/>
    </font>
    <font>
      <sz val="11"/>
      <color indexed="8"/>
      <name val="KB금융 제목체 Light"/>
      <family val="3"/>
      <charset val="129"/>
    </font>
    <font>
      <sz val="10"/>
      <color indexed="8"/>
      <name val="KB금융 본문체 Light"/>
      <family val="3"/>
      <charset val="129"/>
    </font>
    <font>
      <b/>
      <sz val="11"/>
      <color indexed="62"/>
      <name val="KB금융 본문체 Light"/>
      <family val="3"/>
      <charset val="129"/>
    </font>
    <font>
      <sz val="9"/>
      <color indexed="8"/>
      <name val="KB금융 본문체 Light"/>
      <family val="3"/>
      <charset val="129"/>
    </font>
    <font>
      <sz val="10"/>
      <name val="KB금융 본문체 Light"/>
      <family val="3"/>
      <charset val="129"/>
    </font>
    <font>
      <sz val="9"/>
      <name val="KB금융 본문체 Light"/>
      <family val="3"/>
      <charset val="129"/>
    </font>
    <font>
      <b/>
      <sz val="9"/>
      <name val="KB금융 본문체 Light"/>
      <family val="3"/>
      <charset val="129"/>
    </font>
    <font>
      <b/>
      <sz val="14"/>
      <color indexed="8"/>
      <name val="KB금융 본문체 Light"/>
      <family val="3"/>
      <charset val="129"/>
    </font>
    <font>
      <sz val="14"/>
      <color theme="1"/>
      <name val="KB금융 본문체 Light"/>
      <family val="3"/>
      <charset val="129"/>
    </font>
    <font>
      <b/>
      <sz val="10"/>
      <color indexed="8"/>
      <name val="KB금융 본문체 Light"/>
      <family val="3"/>
      <charset val="129"/>
    </font>
    <font>
      <b/>
      <sz val="9"/>
      <color indexed="63"/>
      <name val="KB금융 본문체 Light"/>
      <family val="3"/>
      <charset val="129"/>
    </font>
    <font>
      <sz val="9"/>
      <color indexed="63"/>
      <name val="KB금융 본문체 Light"/>
      <family val="3"/>
      <charset val="129"/>
    </font>
    <font>
      <sz val="8"/>
      <color indexed="63"/>
      <name val="KB금융 본문체 Light"/>
      <family val="3"/>
      <charset val="129"/>
    </font>
    <font>
      <b/>
      <sz val="9"/>
      <color indexed="9"/>
      <name val="KB금융 본문체 Light"/>
      <family val="3"/>
      <charset val="129"/>
    </font>
    <font>
      <sz val="8"/>
      <color indexed="8"/>
      <name val="KB금융 본문체 Light"/>
      <family val="3"/>
      <charset val="129"/>
    </font>
    <font>
      <sz val="8"/>
      <name val="KB금융 본문체 Light"/>
      <family val="3"/>
      <charset val="129"/>
    </font>
    <font>
      <sz val="11"/>
      <color rgb="FFFF0000"/>
      <name val="KB금융 본문체 Light"/>
      <family val="3"/>
      <charset val="129"/>
    </font>
    <font>
      <sz val="10"/>
      <color rgb="FFFF0000"/>
      <name val="KB금융 본문체 Light"/>
      <family val="3"/>
      <charset val="129"/>
    </font>
    <font>
      <b/>
      <sz val="11"/>
      <color rgb="FFFF0000"/>
      <name val="KB금융 본문체 Light"/>
      <family val="3"/>
      <charset val="129"/>
    </font>
    <font>
      <sz val="10"/>
      <color indexed="9"/>
      <name val="KB금융 본문체 Light"/>
      <family val="3"/>
      <charset val="129"/>
    </font>
    <font>
      <sz val="10"/>
      <color theme="0" tint="-0.34998626667073579"/>
      <name val="KB금융 본문체 Light"/>
      <family val="3"/>
      <charset val="129"/>
    </font>
    <font>
      <b/>
      <sz val="10"/>
      <color indexed="10"/>
      <name val="KB금융 본문체 Light"/>
      <family val="3"/>
      <charset val="129"/>
    </font>
    <font>
      <sz val="11"/>
      <color indexed="62"/>
      <name val="KB금융 본문체 Light"/>
      <family val="3"/>
      <charset val="129"/>
    </font>
    <font>
      <sz val="7"/>
      <color indexed="63"/>
      <name val="KB금융 본문체 Light"/>
      <family val="3"/>
      <charset val="129"/>
    </font>
    <font>
      <sz val="7"/>
      <color theme="1"/>
      <name val="KB금융 본문체 Light"/>
      <family val="3"/>
      <charset val="129"/>
    </font>
    <font>
      <sz val="7"/>
      <name val="KB금융 본문체 Light"/>
      <family val="3"/>
      <charset val="129"/>
    </font>
    <font>
      <b/>
      <u/>
      <sz val="16"/>
      <color theme="1"/>
      <name val="KB금융 본문체 Light"/>
      <family val="3"/>
      <charset val="129"/>
    </font>
    <font>
      <b/>
      <sz val="10"/>
      <color theme="0"/>
      <name val="KB금융 본문체 Light"/>
      <family val="3"/>
      <charset val="129"/>
    </font>
    <font>
      <b/>
      <sz val="10"/>
      <color rgb="FFFFFF00"/>
      <name val="KB금융 본문체 Light"/>
      <family val="3"/>
      <charset val="129"/>
    </font>
    <font>
      <i/>
      <sz val="11"/>
      <color indexed="23"/>
      <name val="KB금융 본문체 Light"/>
      <family val="3"/>
      <charset val="129"/>
    </font>
    <font>
      <sz val="11"/>
      <color indexed="63"/>
      <name val="KB금융 본문체 Light"/>
      <family val="3"/>
      <charset val="129"/>
    </font>
    <font>
      <b/>
      <sz val="10"/>
      <color indexed="63"/>
      <name val="KB금융 본문체 Light"/>
      <family val="3"/>
      <charset val="129"/>
    </font>
    <font>
      <b/>
      <sz val="11"/>
      <color indexed="18"/>
      <name val="KB금융 본문체 Light"/>
      <family val="3"/>
      <charset val="129"/>
    </font>
    <font>
      <b/>
      <sz val="11"/>
      <color indexed="63"/>
      <name val="KB금융 본문체 Light"/>
      <family val="3"/>
      <charset val="129"/>
    </font>
    <font>
      <b/>
      <sz val="20"/>
      <name val="KB금융 본문체 Light"/>
      <family val="3"/>
      <charset val="129"/>
    </font>
    <font>
      <b/>
      <u/>
      <sz val="11"/>
      <name val="KB금융 본문체 Light"/>
      <family val="3"/>
      <charset val="129"/>
    </font>
    <font>
      <b/>
      <sz val="10"/>
      <color indexed="9"/>
      <name val="KB금융 본문체 Light"/>
      <family val="3"/>
      <charset val="129"/>
    </font>
    <font>
      <b/>
      <i/>
      <sz val="9"/>
      <name val="KB금융 본문체 Light"/>
      <family val="3"/>
      <charset val="129"/>
    </font>
    <font>
      <b/>
      <sz val="9"/>
      <color indexed="12"/>
      <name val="KB금융 본문체 Light"/>
      <family val="3"/>
      <charset val="129"/>
    </font>
    <font>
      <b/>
      <sz val="14"/>
      <color rgb="FF0000FF"/>
      <name val="KB금융 본문체 Light"/>
      <family val="3"/>
      <charset val="129"/>
    </font>
    <font>
      <sz val="11"/>
      <color theme="1"/>
      <name val="KB금융 제목체 Light"/>
      <family val="3"/>
      <charset val="129"/>
    </font>
    <font>
      <sz val="9"/>
      <color indexed="8"/>
      <name val="KB금융 제목체 Light"/>
      <family val="3"/>
      <charset val="129"/>
    </font>
    <font>
      <sz val="11"/>
      <color theme="0"/>
      <name val="KB금융 제목체 Light"/>
      <family val="3"/>
      <charset val="129"/>
    </font>
    <font>
      <b/>
      <sz val="11"/>
      <color indexed="8"/>
      <name val="KB금융 제목체 Light"/>
      <family val="3"/>
      <charset val="129"/>
    </font>
    <font>
      <sz val="11"/>
      <color indexed="10"/>
      <name val="KB금융 제목체 Light"/>
      <family val="3"/>
      <charset val="129"/>
    </font>
    <font>
      <sz val="10"/>
      <color indexed="8"/>
      <name val="KB금융 제목체 Light"/>
      <family val="3"/>
      <charset val="129"/>
    </font>
    <font>
      <sz val="10"/>
      <color rgb="FF0000FF"/>
      <name val="KB금융 제목체 Light"/>
      <family val="3"/>
      <charset val="129"/>
    </font>
    <font>
      <sz val="10"/>
      <name val="KB금융 제목체 Light"/>
      <family val="3"/>
      <charset val="129"/>
    </font>
    <font>
      <sz val="11"/>
      <color theme="0"/>
      <name val="KB금융 본문체 Medium"/>
      <family val="3"/>
      <charset val="129"/>
    </font>
    <font>
      <u/>
      <sz val="11"/>
      <color theme="10"/>
      <name val="KB금융 제목체 Light"/>
      <family val="3"/>
      <charset val="129"/>
    </font>
    <font>
      <u/>
      <sz val="11"/>
      <color theme="10"/>
      <name val="KB금융 본문체 Medium"/>
      <family val="3"/>
      <charset val="129"/>
    </font>
    <font>
      <sz val="11"/>
      <name val="KB금융 제목체 Light"/>
      <family val="3"/>
      <charset val="129"/>
    </font>
    <font>
      <b/>
      <sz val="10"/>
      <name val="KB금융 제목체 Light"/>
      <family val="3"/>
      <charset val="129"/>
    </font>
    <font>
      <b/>
      <sz val="9"/>
      <name val="KB금융 제목체 Light"/>
      <family val="3"/>
      <charset val="129"/>
    </font>
    <font>
      <sz val="8"/>
      <name val="KB금융 제목체 Light"/>
      <family val="3"/>
      <charset val="129"/>
    </font>
    <font>
      <b/>
      <i/>
      <u/>
      <sz val="11"/>
      <name val="KB금융 제목체 Light"/>
      <family val="3"/>
      <charset val="129"/>
    </font>
    <font>
      <b/>
      <i/>
      <sz val="11"/>
      <name val="KB금융 제목체 Light"/>
      <family val="3"/>
      <charset val="129"/>
    </font>
    <font>
      <b/>
      <u/>
      <sz val="11"/>
      <name val="KB금융 제목체 Light"/>
      <family val="3"/>
      <charset val="129"/>
    </font>
    <font>
      <sz val="10"/>
      <color theme="1"/>
      <name val="KB금융 제목체 Light"/>
      <family val="3"/>
      <charset val="129"/>
    </font>
    <font>
      <u/>
      <sz val="11"/>
      <name val="KB금융 제목체 Light"/>
      <family val="3"/>
      <charset val="129"/>
    </font>
    <font>
      <b/>
      <sz val="11"/>
      <name val="KB금융 제목체 Light"/>
      <family val="3"/>
      <charset val="129"/>
    </font>
    <font>
      <b/>
      <sz val="16"/>
      <color indexed="8"/>
      <name val="KB금융 본문체 Light"/>
      <family val="3"/>
      <charset val="129"/>
    </font>
    <font>
      <sz val="11"/>
      <color rgb="FF000000"/>
      <name val="KB금융 본문체 Light"/>
      <family val="3"/>
      <charset val="129"/>
    </font>
    <font>
      <b/>
      <i/>
      <sz val="13"/>
      <name val="KB금융 본문체 Light"/>
      <family val="3"/>
      <charset val="129"/>
    </font>
    <font>
      <i/>
      <sz val="11"/>
      <name val="KB금융 본문체 Light"/>
      <family val="3"/>
      <charset val="129"/>
    </font>
    <font>
      <sz val="11"/>
      <color indexed="12"/>
      <name val="KB금융 본문체 Light"/>
      <family val="3"/>
      <charset val="129"/>
    </font>
    <font>
      <sz val="9"/>
      <color rgb="FFFF0000"/>
      <name val="KB금융 본문체 Light"/>
      <family val="3"/>
      <charset val="129"/>
    </font>
    <font>
      <b/>
      <sz val="14"/>
      <color theme="1"/>
      <name val="KB금융 본문체 Medium"/>
      <family val="3"/>
      <charset val="129"/>
    </font>
    <font>
      <b/>
      <sz val="11"/>
      <name val="KB금융 본문체 Medium"/>
      <family val="3"/>
      <charset val="129"/>
    </font>
    <font>
      <sz val="10"/>
      <color theme="1"/>
      <name val="KB금융 본문체 Medium"/>
      <family val="3"/>
      <charset val="129"/>
    </font>
    <font>
      <sz val="11"/>
      <color theme="0" tint="-0.249977111117893"/>
      <name val="맑은 고딕"/>
      <family val="2"/>
      <scheme val="minor"/>
    </font>
    <font>
      <b/>
      <sz val="14"/>
      <name val="맑은 고딕"/>
      <family val="3"/>
      <charset val="129"/>
      <scheme val="minor"/>
    </font>
    <font>
      <sz val="11"/>
      <color rgb="FF0000FF"/>
      <name val="맑은 고딕"/>
      <family val="2"/>
      <scheme val="minor"/>
    </font>
    <font>
      <sz val="11"/>
      <name val="맑은 고딕"/>
      <family val="2"/>
      <scheme val="minor"/>
    </font>
    <font>
      <b/>
      <sz val="10"/>
      <color rgb="FFFFFF00"/>
      <name val="맑은 고딕"/>
      <family val="3"/>
      <charset val="129"/>
      <scheme val="minor"/>
    </font>
    <font>
      <b/>
      <sz val="9"/>
      <name val="맑은 고딕"/>
      <family val="3"/>
      <charset val="129"/>
    </font>
    <font>
      <sz val="12"/>
      <color indexed="9"/>
      <name val="KB금융 본문체 Light"/>
      <family val="3"/>
      <charset val="129"/>
    </font>
    <font>
      <b/>
      <sz val="14"/>
      <name val="KB금융 제목체 Bold"/>
      <family val="3"/>
      <charset val="129"/>
    </font>
    <font>
      <sz val="14"/>
      <name val="KB금융 제목체 Bold"/>
      <family val="3"/>
      <charset val="129"/>
    </font>
    <font>
      <b/>
      <sz val="14"/>
      <color indexed="8"/>
      <name val="KB금융 제목체 Bold"/>
      <family val="3"/>
      <charset val="129"/>
    </font>
    <font>
      <sz val="14"/>
      <color indexed="8"/>
      <name val="KB금융 제목체 Bold"/>
      <family val="3"/>
      <charset val="129"/>
    </font>
    <font>
      <b/>
      <sz val="21"/>
      <name val="KB금융 제목체 Bold"/>
      <family val="3"/>
      <charset val="129"/>
    </font>
    <font>
      <sz val="21"/>
      <name val="KB금융 제목체 Bold"/>
      <family val="3"/>
      <charset val="129"/>
    </font>
    <font>
      <sz val="11"/>
      <color indexed="8"/>
      <name val="KB금융 제목체 Bold"/>
      <family val="3"/>
      <charset val="129"/>
    </font>
    <font>
      <b/>
      <sz val="8"/>
      <name val="KB금융 제목체 Light"/>
      <family val="3"/>
      <charset val="129"/>
    </font>
    <font>
      <sz val="9"/>
      <color theme="1"/>
      <name val="KB금융 제목체 Light"/>
      <family val="3"/>
      <charset val="129"/>
    </font>
    <font>
      <sz val="14"/>
      <color indexed="8"/>
      <name val="KB금융 본문체 Light"/>
      <family val="3"/>
      <charset val="129"/>
    </font>
    <font>
      <sz val="14"/>
      <color rgb="FF000000"/>
      <name val="KB금융 본문체 Light"/>
      <family val="3"/>
      <charset val="129"/>
    </font>
    <font>
      <b/>
      <sz val="12"/>
      <color rgb="FF000000"/>
      <name val="KB금융 본문체 Light"/>
      <family val="3"/>
      <charset val="129"/>
    </font>
    <font>
      <sz val="12"/>
      <color rgb="FF000000"/>
      <name val="KB금융 본문체 Light"/>
      <family val="3"/>
      <charset val="129"/>
    </font>
    <font>
      <sz val="9"/>
      <color rgb="FF000000"/>
      <name val="KB금융 본문체 Light"/>
      <family val="3"/>
      <charset val="129"/>
    </font>
    <font>
      <b/>
      <sz val="11"/>
      <color rgb="FF000000"/>
      <name val="KB금융 본문체 Light"/>
      <family val="3"/>
      <charset val="129"/>
    </font>
    <font>
      <sz val="10"/>
      <color rgb="FF000000"/>
      <name val="KB금융 본문체 Light"/>
      <family val="3"/>
      <charset val="129"/>
    </font>
    <font>
      <b/>
      <sz val="9"/>
      <color rgb="FFFF0000"/>
      <name val="KB금융 본문체 Light"/>
      <family val="3"/>
      <charset val="129"/>
    </font>
    <font>
      <b/>
      <sz val="10"/>
      <color rgb="FFFF0000"/>
      <name val="KB금융 본문체 Light"/>
      <family val="3"/>
      <charset val="129"/>
    </font>
    <font>
      <b/>
      <sz val="10"/>
      <color rgb="FF000000"/>
      <name val="KB금융 본문체 Light"/>
      <family val="3"/>
      <charset val="129"/>
    </font>
  </fonts>
  <fills count="5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7C80"/>
        <bgColor indexed="64"/>
      </patternFill>
    </fill>
    <fill>
      <patternFill patternType="lightGray">
        <fgColor indexed="9"/>
        <bgColor theme="8" tint="0.79998168889431442"/>
      </patternFill>
    </fill>
    <fill>
      <patternFill patternType="mediumGray">
        <fgColor indexed="22"/>
        <bgColor indexed="9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55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9"/>
      </patternFill>
    </fill>
    <fill>
      <patternFill patternType="solid">
        <fgColor indexed="26"/>
        <bgColor indexed="9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6" tint="0.59999389629810485"/>
        <bgColor indexed="9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79998168889431442"/>
        <bgColor indexed="9"/>
      </patternFill>
    </fill>
    <fill>
      <patternFill patternType="solid">
        <fgColor theme="7" tint="0.7999816888943144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22"/>
        <bgColor indexed="22"/>
      </patternFill>
    </fill>
    <fill>
      <patternFill patternType="solid">
        <fgColor theme="0" tint="-0.24994659260841701"/>
        <bgColor indexed="64"/>
      </patternFill>
    </fill>
    <fill>
      <patternFill patternType="solid">
        <fgColor indexed="2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3DCDB"/>
        <bgColor indexed="64"/>
      </patternFill>
    </fill>
    <fill>
      <patternFill patternType="solid">
        <fgColor rgb="FFEBF1DE"/>
        <bgColor indexed="64"/>
      </patternFill>
    </fill>
    <fill>
      <patternFill patternType="solid">
        <fgColor rgb="FFDAEEF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DCE6F1"/>
        <bgColor indexed="64"/>
      </patternFill>
    </fill>
    <fill>
      <patternFill patternType="solid">
        <fgColor rgb="FFF2DCDB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39994506668294322"/>
        <bgColor indexed="64"/>
      </patternFill>
    </fill>
    <fill>
      <patternFill patternType="solid">
        <fgColor rgb="FFFFE697"/>
        <bgColor indexed="64"/>
      </patternFill>
    </fill>
    <fill>
      <patternFill patternType="solid">
        <fgColor rgb="FFFFBF00"/>
        <bgColor indexed="64"/>
      </patternFill>
    </fill>
    <fill>
      <patternFill patternType="solid">
        <fgColor rgb="FFFFE6A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indexed="22"/>
        <bgColor indexed="55"/>
      </patternFill>
    </fill>
  </fills>
  <borders count="28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/>
      <top/>
      <bottom style="hair">
        <color auto="1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rgb="FFFF0000"/>
      </left>
      <right style="medium">
        <color rgb="FFFF0000"/>
      </right>
      <top style="medium">
        <color rgb="FFFF000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hair">
        <color indexed="64"/>
      </left>
      <right style="hair">
        <color indexed="64"/>
      </right>
      <top/>
      <bottom style="hair">
        <color auto="1"/>
      </bottom>
      <diagonal/>
    </border>
    <border>
      <left style="hair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auto="1"/>
      </bottom>
      <diagonal/>
    </border>
    <border>
      <left style="hair">
        <color theme="1"/>
      </left>
      <right style="thin">
        <color indexed="64"/>
      </right>
      <top/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indexed="55"/>
      </bottom>
      <diagonal/>
    </border>
    <border>
      <left/>
      <right/>
      <top style="thin">
        <color theme="0" tint="-0.499984740745262"/>
      </top>
      <bottom style="thin">
        <color indexed="55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indexed="55"/>
      </bottom>
      <diagonal/>
    </border>
    <border>
      <left style="thin">
        <color theme="0" tint="-0.499984740745262"/>
      </left>
      <right style="thin">
        <color indexed="55"/>
      </right>
      <top/>
      <bottom/>
      <diagonal/>
    </border>
    <border>
      <left style="thin">
        <color theme="0" tint="-0.24994659260841701"/>
      </left>
      <right style="thin">
        <color theme="0" tint="-0.499984740745262"/>
      </right>
      <top/>
      <bottom/>
      <diagonal/>
    </border>
    <border>
      <left style="thin">
        <color theme="0" tint="-0.24994659260841701"/>
      </left>
      <right style="thin">
        <color theme="0" tint="-0.499984740745262"/>
      </right>
      <top/>
      <bottom style="thin">
        <color theme="0" tint="-0.499984740745262"/>
      </bottom>
      <diagonal/>
    </border>
    <border>
      <left/>
      <right style="thin">
        <color indexed="22"/>
      </right>
      <top/>
      <bottom/>
      <diagonal/>
    </border>
    <border>
      <left style="thin">
        <color theme="0" tint="-0.24994659260841701"/>
      </left>
      <right/>
      <top style="thin">
        <color theme="0" tint="-0.24994659260841701"/>
      </top>
      <bottom/>
      <diagonal/>
    </border>
    <border>
      <left/>
      <right/>
      <top style="thin">
        <color theme="0" tint="-0.24994659260841701"/>
      </top>
      <bottom/>
      <diagonal/>
    </border>
    <border>
      <left/>
      <right/>
      <top/>
      <bottom style="thin">
        <color auto="1"/>
      </bottom>
      <diagonal/>
    </border>
    <border>
      <left/>
      <right/>
      <top/>
      <bottom style="hair">
        <color indexed="64"/>
      </bottom>
      <diagonal/>
    </border>
    <border>
      <left style="hair">
        <color indexed="64"/>
      </left>
      <right/>
      <top/>
      <bottom/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/>
      <right style="hair">
        <color indexed="64"/>
      </right>
      <top/>
      <bottom style="thin">
        <color indexed="64"/>
      </bottom>
      <diagonal/>
    </border>
    <border>
      <left/>
      <right/>
      <top/>
      <bottom style="medium">
        <color indexed="55"/>
      </bottom>
      <diagonal/>
    </border>
    <border>
      <left/>
      <right style="thin">
        <color indexed="8"/>
      </right>
      <top/>
      <bottom/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auto="1"/>
      </left>
      <right style="thin">
        <color indexed="64"/>
      </right>
      <top/>
      <bottom/>
      <diagonal/>
    </border>
    <border>
      <left style="thin">
        <color indexed="55"/>
      </left>
      <right style="thin">
        <color indexed="55"/>
      </right>
      <top/>
      <bottom style="thin">
        <color indexed="55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indexed="64"/>
      </left>
      <right style="hair">
        <color indexed="64"/>
      </right>
      <top/>
      <bottom style="hair">
        <color auto="1"/>
      </bottom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auto="1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auto="1"/>
      </right>
      <top/>
      <bottom/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/>
      <right style="double">
        <color indexed="64"/>
      </right>
      <top style="thin">
        <color indexed="64"/>
      </top>
      <bottom style="hair">
        <color indexed="64"/>
      </bottom>
      <diagonal/>
    </border>
    <border>
      <left style="thin">
        <color auto="1"/>
      </left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theme="0" tint="-0.499984740745262"/>
      </right>
      <top/>
      <bottom/>
      <diagonal/>
    </border>
    <border>
      <left style="thin">
        <color indexed="64"/>
      </left>
      <right style="thin">
        <color indexed="55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/>
      <right style="hair">
        <color theme="0" tint="-0.34998626667073579"/>
      </right>
      <top/>
      <bottom/>
      <diagonal/>
    </border>
    <border>
      <left style="hair">
        <color theme="0" tint="-0.34998626667073579"/>
      </left>
      <right style="hair">
        <color theme="0" tint="-0.34998626667073579"/>
      </right>
      <top/>
      <bottom/>
      <diagonal/>
    </border>
    <border>
      <left style="hair">
        <color theme="0" tint="-0.34998626667073579"/>
      </left>
      <right/>
      <top/>
      <bottom/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thin">
        <color auto="1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auto="1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auto="1"/>
      </right>
      <top style="hair">
        <color indexed="64"/>
      </top>
      <bottom/>
      <diagonal/>
    </border>
    <border>
      <left style="thin">
        <color auto="1"/>
      </left>
      <right style="double">
        <color indexed="64"/>
      </right>
      <top style="hair">
        <color auto="1"/>
      </top>
      <bottom/>
      <diagonal/>
    </border>
    <border>
      <left style="thin">
        <color auto="1"/>
      </left>
      <right/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theme="0" tint="-0.499984740745262"/>
      </left>
      <right/>
      <top/>
      <bottom style="thin">
        <color indexed="55"/>
      </bottom>
      <diagonal/>
    </border>
    <border>
      <left/>
      <right style="thin">
        <color theme="0" tint="-0.499984740745262"/>
      </right>
      <top/>
      <bottom style="thin">
        <color indexed="55"/>
      </bottom>
      <diagonal/>
    </border>
    <border>
      <left style="thin">
        <color indexed="64"/>
      </left>
      <right style="thin">
        <color indexed="55"/>
      </right>
      <top style="thin">
        <color indexed="55"/>
      </top>
      <bottom style="thin">
        <color indexed="55"/>
      </bottom>
      <diagonal/>
    </border>
    <border>
      <left style="thin">
        <color indexed="55"/>
      </left>
      <right style="thin">
        <color theme="0" tint="-0.499984740745262"/>
      </right>
      <top style="thin">
        <color indexed="55"/>
      </top>
      <bottom style="thin">
        <color indexed="55"/>
      </bottom>
      <diagonal/>
    </border>
    <border>
      <left style="thin">
        <color theme="0" tint="-0.499984740745262"/>
      </left>
      <right style="thin">
        <color indexed="55"/>
      </right>
      <top style="thin">
        <color indexed="55"/>
      </top>
      <bottom/>
      <diagonal/>
    </border>
    <border>
      <left style="thin">
        <color indexed="55"/>
      </left>
      <right style="thin">
        <color theme="0" tint="-0.499984740745262"/>
      </right>
      <top style="thin">
        <color indexed="55"/>
      </top>
      <bottom/>
      <diagonal/>
    </border>
    <border>
      <left style="thin">
        <color indexed="55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indexed="55"/>
      </right>
      <top/>
      <bottom style="thin">
        <color indexed="55"/>
      </bottom>
      <diagonal/>
    </border>
    <border>
      <left style="thin">
        <color indexed="64"/>
      </left>
      <right/>
      <top/>
      <bottom/>
      <diagonal/>
    </border>
    <border>
      <left style="thin">
        <color theme="0" tint="-0.499984740745262"/>
      </left>
      <right/>
      <top style="thin">
        <color indexed="55"/>
      </top>
      <bottom style="thin">
        <color indexed="55"/>
      </bottom>
      <diagonal/>
    </border>
    <border>
      <left/>
      <right style="thin">
        <color theme="0" tint="-0.499984740745262"/>
      </right>
      <top style="thin">
        <color indexed="55"/>
      </top>
      <bottom style="thin">
        <color indexed="55"/>
      </bottom>
      <diagonal/>
    </border>
    <border>
      <left style="thin">
        <color theme="0" tint="-0.499984740745262"/>
      </left>
      <right/>
      <top style="thin">
        <color indexed="55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indexed="55"/>
      </top>
      <bottom style="thin">
        <color theme="0" tint="-0.499984740745262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8"/>
      </left>
      <right style="hair">
        <color indexed="8"/>
      </right>
      <top style="hair">
        <color indexed="8"/>
      </top>
      <bottom style="hair">
        <color indexed="8"/>
      </bottom>
      <diagonal/>
    </border>
    <border>
      <left style="thin">
        <color indexed="64"/>
      </left>
      <right/>
      <top style="hair">
        <color indexed="64"/>
      </top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8"/>
      </right>
      <top style="thin">
        <color indexed="64"/>
      </top>
      <bottom/>
      <diagonal/>
    </border>
    <border>
      <left/>
      <right style="thin">
        <color indexed="8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55"/>
      </left>
      <right style="thin">
        <color indexed="55"/>
      </right>
      <top style="thin">
        <color indexed="55"/>
      </top>
      <bottom/>
      <diagonal/>
    </border>
    <border>
      <left style="thin">
        <color indexed="55"/>
      </left>
      <right/>
      <top style="thin">
        <color indexed="55"/>
      </top>
      <bottom style="thin">
        <color indexed="55"/>
      </bottom>
      <diagonal/>
    </border>
    <border>
      <left/>
      <right/>
      <top style="thin">
        <color indexed="55"/>
      </top>
      <bottom style="thin">
        <color indexed="55"/>
      </bottom>
      <diagonal/>
    </border>
    <border>
      <left/>
      <right style="thin">
        <color indexed="55"/>
      </right>
      <top style="thin">
        <color indexed="55"/>
      </top>
      <bottom style="thin">
        <color indexed="55"/>
      </bottom>
      <diagonal/>
    </border>
    <border>
      <left style="thin">
        <color indexed="55"/>
      </left>
      <right style="thin">
        <color indexed="55"/>
      </right>
      <top style="thin">
        <color indexed="55"/>
      </top>
      <bottom style="thin">
        <color indexed="55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55"/>
      </left>
      <right style="thin">
        <color indexed="55"/>
      </right>
      <top/>
      <bottom style="thin">
        <color indexed="55"/>
      </bottom>
      <diagonal/>
    </border>
    <border>
      <left style="medium">
        <color rgb="FFFF0000"/>
      </left>
      <right style="medium">
        <color rgb="FFFF0000"/>
      </right>
      <top style="thin">
        <color indexed="64"/>
      </top>
      <bottom style="thin">
        <color indexed="64"/>
      </bottom>
      <diagonal/>
    </border>
    <border>
      <left style="medium">
        <color rgb="FFFF0000"/>
      </left>
      <right style="medium">
        <color rgb="FFFF0000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double">
        <color indexed="64"/>
      </left>
      <right style="thin">
        <color auto="1"/>
      </right>
      <top style="thin">
        <color indexed="64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8"/>
      </top>
      <bottom/>
      <diagonal/>
    </border>
    <border>
      <left style="thin">
        <color indexed="8"/>
      </left>
      <right/>
      <top style="thin">
        <color indexed="8"/>
      </top>
      <bottom/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 style="double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8"/>
      </right>
      <top style="thin">
        <color indexed="8"/>
      </top>
      <bottom/>
      <diagonal/>
    </border>
    <border>
      <left style="double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 style="double">
        <color indexed="8"/>
      </right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 style="double">
        <color indexed="64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64"/>
      </bottom>
      <diagonal/>
    </border>
    <border>
      <left/>
      <right style="double">
        <color indexed="8"/>
      </right>
      <top style="thin">
        <color indexed="8"/>
      </top>
      <bottom style="thin">
        <color indexed="64"/>
      </bottom>
      <diagonal/>
    </border>
    <border>
      <left/>
      <right/>
      <top style="thin">
        <color indexed="8"/>
      </top>
      <bottom/>
      <diagonal/>
    </border>
    <border>
      <left style="medium">
        <color rgb="FFFF0000"/>
      </left>
      <right style="medium">
        <color rgb="FFFF0000"/>
      </right>
      <top style="thin">
        <color indexed="64"/>
      </top>
      <bottom/>
      <diagonal/>
    </border>
    <border>
      <left style="double">
        <color indexed="64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/>
      <top style="thin">
        <color indexed="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thin">
        <color indexed="55"/>
      </left>
      <right style="thin">
        <color indexed="55"/>
      </right>
      <top style="thin">
        <color indexed="55"/>
      </top>
      <bottom/>
      <diagonal/>
    </border>
    <border>
      <left style="thin">
        <color indexed="55"/>
      </left>
      <right/>
      <top style="thin">
        <color indexed="55"/>
      </top>
      <bottom style="thin">
        <color indexed="55"/>
      </bottom>
      <diagonal/>
    </border>
    <border>
      <left/>
      <right/>
      <top style="thin">
        <color indexed="55"/>
      </top>
      <bottom style="thin">
        <color indexed="55"/>
      </bottom>
      <diagonal/>
    </border>
    <border>
      <left/>
      <right style="thin">
        <color indexed="55"/>
      </right>
      <top style="thin">
        <color indexed="55"/>
      </top>
      <bottom style="thin">
        <color indexed="55"/>
      </bottom>
      <diagonal/>
    </border>
    <border>
      <left style="thin">
        <color indexed="55"/>
      </left>
      <right style="thin">
        <color indexed="55"/>
      </right>
      <top style="thin">
        <color indexed="55"/>
      </top>
      <bottom style="thin">
        <color indexed="55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hair">
        <color auto="1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22"/>
      </right>
      <top/>
      <bottom style="thin">
        <color indexed="22"/>
      </bottom>
      <diagonal/>
    </border>
    <border>
      <left/>
      <right/>
      <top/>
      <bottom style="thin">
        <color indexed="22"/>
      </bottom>
      <diagonal/>
    </border>
    <border>
      <left style="thin">
        <color indexed="22"/>
      </left>
      <right/>
      <top style="thin">
        <color indexed="22"/>
      </top>
      <bottom style="thin">
        <color indexed="22"/>
      </bottom>
      <diagonal/>
    </border>
    <border>
      <left/>
      <right/>
      <top style="thin">
        <color indexed="22"/>
      </top>
      <bottom style="thin">
        <color indexed="22"/>
      </bottom>
      <diagonal/>
    </border>
    <border>
      <left/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22"/>
      </left>
      <right/>
      <top/>
      <bottom/>
      <diagonal/>
    </border>
    <border>
      <left style="thin">
        <color indexed="22"/>
      </left>
      <right/>
      <top/>
      <bottom style="thin">
        <color indexed="22"/>
      </bottom>
      <diagonal/>
    </border>
    <border>
      <left/>
      <right/>
      <top style="thin">
        <color indexed="22"/>
      </top>
      <bottom/>
      <diagonal/>
    </border>
    <border>
      <left/>
      <right style="thin">
        <color indexed="22"/>
      </right>
      <top style="thin">
        <color indexed="22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22"/>
      </left>
      <right/>
      <top style="thin">
        <color indexed="22"/>
      </top>
      <bottom/>
      <diagonal/>
    </border>
    <border>
      <left style="hair">
        <color indexed="8"/>
      </left>
      <right style="hair">
        <color indexed="8"/>
      </right>
      <top/>
      <bottom style="hair">
        <color indexed="8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thin">
        <color indexed="64"/>
      </bottom>
      <diagonal/>
    </border>
    <border>
      <left/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 tint="-0.499984740745262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58">
    <xf numFmtId="0" fontId="0" fillId="0" borderId="0"/>
    <xf numFmtId="41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0" fontId="16" fillId="0" borderId="0">
      <alignment vertical="center"/>
    </xf>
    <xf numFmtId="0" fontId="14" fillId="0" borderId="0">
      <alignment vertical="center"/>
    </xf>
    <xf numFmtId="41" fontId="16" fillId="0" borderId="0" applyFont="0" applyFill="0" applyBorder="0" applyAlignment="0" applyProtection="0">
      <alignment vertical="center"/>
    </xf>
    <xf numFmtId="0" fontId="27" fillId="0" borderId="0">
      <alignment vertical="center"/>
    </xf>
    <xf numFmtId="41" fontId="27" fillId="0" borderId="0" applyFont="0" applyFill="0" applyBorder="0" applyAlignment="0" applyProtection="0">
      <alignment vertical="center"/>
    </xf>
    <xf numFmtId="41" fontId="30" fillId="0" borderId="0" applyFont="0" applyFill="0" applyBorder="0" applyAlignment="0" applyProtection="0"/>
    <xf numFmtId="0" fontId="16" fillId="0" borderId="0">
      <alignment vertical="center"/>
    </xf>
    <xf numFmtId="0" fontId="32" fillId="0" borderId="0">
      <alignment vertical="center"/>
    </xf>
    <xf numFmtId="41" fontId="16" fillId="0" borderId="0" applyFont="0" applyFill="0" applyBorder="0" applyAlignment="0" applyProtection="0">
      <alignment vertical="center"/>
    </xf>
    <xf numFmtId="9" fontId="27" fillId="0" borderId="0" applyFont="0" applyFill="0" applyBorder="0" applyAlignment="0" applyProtection="0">
      <alignment vertical="center"/>
    </xf>
    <xf numFmtId="9" fontId="32" fillId="0" borderId="0" applyFont="0" applyFill="0" applyBorder="0" applyAlignment="0" applyProtection="0">
      <alignment vertical="center"/>
    </xf>
    <xf numFmtId="41" fontId="32" fillId="0" borderId="0" applyFont="0" applyFill="0" applyBorder="0" applyAlignment="0" applyProtection="0">
      <alignment vertical="center"/>
    </xf>
    <xf numFmtId="0" fontId="16" fillId="0" borderId="0">
      <alignment vertical="center"/>
    </xf>
    <xf numFmtId="191" fontId="33" fillId="0" borderId="0"/>
    <xf numFmtId="0" fontId="40" fillId="0" borderId="0"/>
    <xf numFmtId="0" fontId="38" fillId="0" borderId="0"/>
    <xf numFmtId="194" fontId="38" fillId="0" borderId="0" applyFont="0" applyFill="0" applyBorder="0" applyAlignment="0" applyProtection="0"/>
    <xf numFmtId="9" fontId="38" fillId="0" borderId="0" applyFont="0" applyFill="0" applyBorder="0" applyAlignment="0" applyProtection="0"/>
    <xf numFmtId="0" fontId="38" fillId="0" borderId="0"/>
    <xf numFmtId="41" fontId="14" fillId="0" borderId="0" applyFont="0" applyFill="0" applyBorder="0" applyAlignment="0" applyProtection="0">
      <alignment vertical="center"/>
    </xf>
    <xf numFmtId="9" fontId="16" fillId="0" borderId="0" applyFont="0" applyFill="0" applyBorder="0" applyAlignment="0" applyProtection="0">
      <alignment vertical="center"/>
    </xf>
    <xf numFmtId="41" fontId="27" fillId="0" borderId="0" applyFont="0" applyFill="0" applyBorder="0" applyAlignment="0" applyProtection="0">
      <alignment vertical="center"/>
    </xf>
    <xf numFmtId="41" fontId="16" fillId="0" borderId="0" applyFont="0" applyFill="0" applyBorder="0" applyAlignment="0" applyProtection="0">
      <alignment vertical="center"/>
    </xf>
    <xf numFmtId="41" fontId="27" fillId="0" borderId="0" applyFont="0" applyFill="0" applyBorder="0" applyAlignment="0" applyProtection="0">
      <alignment vertical="center"/>
    </xf>
    <xf numFmtId="41" fontId="27" fillId="0" borderId="0" applyFont="0" applyFill="0" applyBorder="0" applyAlignment="0" applyProtection="0">
      <alignment vertical="center"/>
    </xf>
    <xf numFmtId="0" fontId="27" fillId="0" borderId="0">
      <alignment vertical="center"/>
    </xf>
    <xf numFmtId="0" fontId="16" fillId="0" borderId="0">
      <alignment vertical="center"/>
    </xf>
    <xf numFmtId="194" fontId="27" fillId="0" borderId="0" applyFont="0" applyFill="0" applyBorder="0" applyAlignment="0" applyProtection="0">
      <alignment vertical="center"/>
    </xf>
    <xf numFmtId="191" fontId="61" fillId="0" borderId="0">
      <alignment horizontal="right"/>
    </xf>
    <xf numFmtId="41" fontId="16" fillId="0" borderId="0" applyFont="0" applyFill="0" applyBorder="0" applyAlignment="0" applyProtection="0">
      <alignment vertical="center"/>
    </xf>
    <xf numFmtId="41" fontId="14" fillId="0" borderId="0" applyFont="0" applyFill="0" applyBorder="0" applyAlignment="0" applyProtection="0">
      <alignment vertical="center"/>
    </xf>
    <xf numFmtId="41" fontId="27" fillId="0" borderId="0" applyFont="0" applyFill="0" applyBorder="0" applyAlignment="0" applyProtection="0"/>
    <xf numFmtId="0" fontId="4" fillId="0" borderId="0"/>
    <xf numFmtId="0" fontId="67" fillId="0" borderId="0" applyNumberFormat="0" applyFill="0" applyBorder="0" applyAlignment="0" applyProtection="0">
      <alignment vertical="top"/>
      <protection locked="0"/>
    </xf>
    <xf numFmtId="191" fontId="68" fillId="0" borderId="0" applyFont="0" applyFill="0" applyBorder="0" applyAlignment="0" applyProtection="0"/>
    <xf numFmtId="0" fontId="14" fillId="0" borderId="0"/>
    <xf numFmtId="0" fontId="5" fillId="0" borderId="0"/>
    <xf numFmtId="208" fontId="27" fillId="0" borderId="0"/>
    <xf numFmtId="0" fontId="71" fillId="0" borderId="0"/>
    <xf numFmtId="208" fontId="16" fillId="0" borderId="0">
      <alignment vertical="center"/>
    </xf>
    <xf numFmtId="191" fontId="72" fillId="0" borderId="0">
      <alignment vertical="center"/>
    </xf>
    <xf numFmtId="208" fontId="73" fillId="0" borderId="0"/>
    <xf numFmtId="208" fontId="72" fillId="0" borderId="0"/>
    <xf numFmtId="0" fontId="72" fillId="0" borderId="0"/>
    <xf numFmtId="0" fontId="27" fillId="0" borderId="0">
      <alignment vertical="center"/>
    </xf>
    <xf numFmtId="0" fontId="27" fillId="0" borderId="0"/>
    <xf numFmtId="0" fontId="27" fillId="0" borderId="0"/>
    <xf numFmtId="0" fontId="27" fillId="0" borderId="0"/>
    <xf numFmtId="41" fontId="27" fillId="0" borderId="0" applyFont="0" applyFill="0" applyBorder="0" applyAlignment="0" applyProtection="0">
      <alignment vertical="center"/>
    </xf>
    <xf numFmtId="191" fontId="33" fillId="0" borderId="0"/>
    <xf numFmtId="208" fontId="27" fillId="0" borderId="0">
      <alignment vertical="center"/>
    </xf>
    <xf numFmtId="0" fontId="27" fillId="0" borderId="0"/>
    <xf numFmtId="0" fontId="3" fillId="0" borderId="0">
      <alignment vertical="center"/>
    </xf>
    <xf numFmtId="191" fontId="3" fillId="0" borderId="0">
      <alignment vertical="center"/>
    </xf>
    <xf numFmtId="41" fontId="3" fillId="0" borderId="0" applyFont="0" applyFill="0" applyBorder="0" applyAlignment="0" applyProtection="0">
      <alignment vertical="center"/>
    </xf>
  </cellStyleXfs>
  <cellXfs count="3035">
    <xf numFmtId="0" fontId="0" fillId="0" borderId="0" xfId="0"/>
    <xf numFmtId="0" fontId="0" fillId="0" borderId="0" xfId="0" applyAlignment="1">
      <alignment vertical="center"/>
    </xf>
    <xf numFmtId="0" fontId="0" fillId="2" borderId="0" xfId="0" applyFill="1" applyAlignment="1">
      <alignment vertical="center"/>
    </xf>
    <xf numFmtId="0" fontId="0" fillId="2" borderId="0" xfId="0" applyFill="1" applyBorder="1" applyAlignment="1">
      <alignment vertical="center"/>
    </xf>
    <xf numFmtId="0" fontId="10" fillId="2" borderId="0" xfId="0" applyFont="1" applyFill="1" applyAlignment="1">
      <alignment horizontal="center" vertical="center"/>
    </xf>
    <xf numFmtId="0" fontId="13" fillId="2" borderId="0" xfId="0" applyFont="1" applyFill="1" applyAlignment="1">
      <alignment vertical="center"/>
    </xf>
    <xf numFmtId="0" fontId="0" fillId="2" borderId="0" xfId="0" applyFill="1" applyBorder="1" applyAlignment="1">
      <alignment horizontal="center" vertical="center"/>
    </xf>
    <xf numFmtId="0" fontId="15" fillId="2" borderId="0" xfId="0" applyFont="1" applyFill="1" applyAlignment="1">
      <alignment vertical="center"/>
    </xf>
    <xf numFmtId="0" fontId="14" fillId="0" borderId="0" xfId="0" applyFont="1" applyAlignment="1">
      <alignment vertical="center"/>
    </xf>
    <xf numFmtId="0" fontId="18" fillId="0" borderId="0" xfId="0" applyFont="1" applyAlignment="1">
      <alignment vertical="center"/>
    </xf>
    <xf numFmtId="41" fontId="18" fillId="0" borderId="0" xfId="1" applyFont="1">
      <alignment vertical="center"/>
    </xf>
    <xf numFmtId="0" fontId="0" fillId="0" borderId="0" xfId="0" applyFill="1" applyAlignment="1">
      <alignment vertical="center"/>
    </xf>
    <xf numFmtId="0" fontId="42" fillId="0" borderId="0" xfId="4" applyFont="1">
      <alignment vertical="center"/>
    </xf>
    <xf numFmtId="0" fontId="39" fillId="0" borderId="0" xfId="4" applyFont="1" applyAlignment="1">
      <alignment horizontal="right"/>
    </xf>
    <xf numFmtId="0" fontId="48" fillId="0" borderId="0" xfId="4" applyFont="1">
      <alignment vertical="center"/>
    </xf>
    <xf numFmtId="0" fontId="19" fillId="0" borderId="0" xfId="4" applyFont="1" applyBorder="1" applyAlignment="1">
      <alignment horizontal="left" vertical="center" wrapText="1"/>
    </xf>
    <xf numFmtId="0" fontId="49" fillId="3" borderId="9" xfId="4" applyFont="1" applyFill="1" applyBorder="1" applyAlignment="1">
      <alignment horizontal="center" vertical="center" wrapText="1"/>
    </xf>
    <xf numFmtId="0" fontId="49" fillId="3" borderId="9" xfId="4" applyFont="1" applyFill="1" applyBorder="1" applyAlignment="1">
      <alignment horizontal="center" vertical="center" shrinkToFit="1"/>
    </xf>
    <xf numFmtId="41" fontId="50" fillId="4" borderId="41" xfId="8" applyFont="1" applyFill="1" applyBorder="1" applyAlignment="1">
      <alignment horizontal="center" vertical="center" wrapText="1"/>
    </xf>
    <xf numFmtId="41" fontId="24" fillId="0" borderId="41" xfId="22" applyFont="1" applyFill="1" applyBorder="1" applyAlignment="1" applyProtection="1">
      <alignment horizontal="center" vertical="center"/>
    </xf>
    <xf numFmtId="41" fontId="50" fillId="0" borderId="41" xfId="21" applyNumberFormat="1" applyFont="1" applyFill="1" applyBorder="1" applyAlignment="1">
      <alignment vertical="center" wrapText="1"/>
    </xf>
    <xf numFmtId="181" fontId="49" fillId="0" borderId="43" xfId="4" applyNumberFormat="1" applyFont="1" applyBorder="1" applyAlignment="1">
      <alignment horizontal="center" vertical="center" wrapText="1"/>
    </xf>
    <xf numFmtId="196" fontId="49" fillId="0" borderId="41" xfId="4" applyNumberFormat="1" applyFont="1" applyBorder="1" applyAlignment="1">
      <alignment horizontal="center" vertical="center" wrapText="1"/>
    </xf>
    <xf numFmtId="181" fontId="49" fillId="0" borderId="21" xfId="4" applyNumberFormat="1" applyFont="1" applyBorder="1" applyAlignment="1">
      <alignment horizontal="center" vertical="center" wrapText="1"/>
    </xf>
    <xf numFmtId="196" fontId="49" fillId="0" borderId="22" xfId="4" applyNumberFormat="1" applyFont="1" applyBorder="1" applyAlignment="1">
      <alignment horizontal="center" vertical="center" wrapText="1"/>
    </xf>
    <xf numFmtId="0" fontId="50" fillId="0" borderId="22" xfId="21" applyFont="1" applyFill="1" applyBorder="1" applyAlignment="1">
      <alignment horizontal="center" vertical="center" wrapText="1"/>
    </xf>
    <xf numFmtId="41" fontId="50" fillId="4" borderId="22" xfId="8" applyFont="1" applyFill="1" applyBorder="1" applyAlignment="1">
      <alignment horizontal="center" vertical="center" wrapText="1"/>
    </xf>
    <xf numFmtId="41" fontId="24" fillId="0" borderId="22" xfId="22" applyFont="1" applyFill="1" applyBorder="1" applyAlignment="1" applyProtection="1">
      <alignment horizontal="center" vertical="center"/>
    </xf>
    <xf numFmtId="41" fontId="50" fillId="0" borderId="22" xfId="21" applyNumberFormat="1" applyFont="1" applyFill="1" applyBorder="1" applyAlignment="1">
      <alignment vertical="center" wrapText="1"/>
    </xf>
    <xf numFmtId="0" fontId="42" fillId="0" borderId="0" xfId="4" applyFont="1" applyBorder="1" applyAlignment="1">
      <alignment vertical="center" wrapText="1"/>
    </xf>
    <xf numFmtId="0" fontId="42" fillId="0" borderId="0" xfId="4" applyFont="1" applyAlignment="1">
      <alignment vertical="center" wrapText="1"/>
    </xf>
    <xf numFmtId="0" fontId="43" fillId="0" borderId="0" xfId="4" applyFont="1">
      <alignment vertical="center"/>
    </xf>
    <xf numFmtId="43" fontId="43" fillId="0" borderId="0" xfId="4" applyNumberFormat="1" applyFont="1">
      <alignment vertical="center"/>
    </xf>
    <xf numFmtId="9" fontId="43" fillId="0" borderId="0" xfId="4" applyNumberFormat="1" applyFont="1">
      <alignment vertical="center"/>
    </xf>
    <xf numFmtId="0" fontId="49" fillId="3" borderId="3" xfId="4" applyFont="1" applyFill="1" applyBorder="1" applyAlignment="1">
      <alignment horizontal="center" vertical="center" wrapText="1"/>
    </xf>
    <xf numFmtId="0" fontId="49" fillId="3" borderId="4" xfId="4" applyFont="1" applyFill="1" applyBorder="1" applyAlignment="1">
      <alignment horizontal="center" vertical="center" wrapText="1"/>
    </xf>
    <xf numFmtId="0" fontId="31" fillId="0" borderId="8" xfId="4" applyFont="1" applyFill="1" applyBorder="1" applyAlignment="1">
      <alignment horizontal="center" vertical="center" wrapText="1" shrinkToFit="1"/>
    </xf>
    <xf numFmtId="0" fontId="31" fillId="0" borderId="9" xfId="4" applyFont="1" applyFill="1" applyBorder="1" applyAlignment="1">
      <alignment horizontal="center" vertical="center" wrapText="1"/>
    </xf>
    <xf numFmtId="0" fontId="51" fillId="4" borderId="9" xfId="21" applyFont="1" applyFill="1" applyBorder="1" applyAlignment="1">
      <alignment horizontal="center" vertical="center" wrapText="1"/>
    </xf>
    <xf numFmtId="41" fontId="31" fillId="0" borderId="9" xfId="5" applyFont="1" applyFill="1" applyBorder="1" applyAlignment="1">
      <alignment vertical="center"/>
    </xf>
    <xf numFmtId="9" fontId="31" fillId="0" borderId="9" xfId="23" applyFont="1" applyFill="1" applyBorder="1" applyAlignment="1">
      <alignment horizontal="center" vertical="center"/>
    </xf>
    <xf numFmtId="41" fontId="31" fillId="0" borderId="9" xfId="5" applyNumberFormat="1" applyFont="1" applyFill="1" applyBorder="1" applyAlignment="1">
      <alignment horizontal="center" vertical="center"/>
    </xf>
    <xf numFmtId="41" fontId="31" fillId="0" borderId="9" xfId="5" applyFont="1" applyFill="1" applyBorder="1" applyAlignment="1">
      <alignment horizontal="center" vertical="center"/>
    </xf>
    <xf numFmtId="0" fontId="31" fillId="0" borderId="21" xfId="4" applyFont="1" applyFill="1" applyBorder="1" applyAlignment="1">
      <alignment horizontal="center" vertical="center" wrapText="1" shrinkToFit="1"/>
    </xf>
    <xf numFmtId="0" fontId="31" fillId="0" borderId="22" xfId="4" applyFont="1" applyFill="1" applyBorder="1" applyAlignment="1">
      <alignment horizontal="center" vertical="center" wrapText="1"/>
    </xf>
    <xf numFmtId="41" fontId="31" fillId="0" borderId="22" xfId="5" applyNumberFormat="1" applyFont="1" applyFill="1" applyBorder="1" applyAlignment="1">
      <alignment horizontal="center" vertical="center"/>
    </xf>
    <xf numFmtId="41" fontId="31" fillId="0" borderId="22" xfId="1" applyFont="1" applyFill="1" applyBorder="1" applyAlignment="1">
      <alignment horizontal="center" vertical="center"/>
    </xf>
    <xf numFmtId="41" fontId="31" fillId="0" borderId="22" xfId="5" applyFont="1" applyFill="1" applyBorder="1" applyAlignment="1">
      <alignment horizontal="center" vertical="center"/>
    </xf>
    <xf numFmtId="9" fontId="31" fillId="0" borderId="22" xfId="23" applyFont="1" applyFill="1" applyBorder="1" applyAlignment="1">
      <alignment horizontal="center" vertical="center"/>
    </xf>
    <xf numFmtId="0" fontId="48" fillId="0" borderId="0" xfId="4" applyFont="1" applyAlignment="1">
      <alignment horizontal="center" vertical="center"/>
    </xf>
    <xf numFmtId="43" fontId="48" fillId="0" borderId="0" xfId="4" applyNumberFormat="1" applyFont="1">
      <alignment vertical="center"/>
    </xf>
    <xf numFmtId="49" fontId="32" fillId="0" borderId="0" xfId="0" applyNumberFormat="1" applyFont="1" applyAlignment="1">
      <alignment vertical="center"/>
    </xf>
    <xf numFmtId="41" fontId="0" fillId="0" borderId="0" xfId="0" applyNumberFormat="1" applyAlignment="1">
      <alignment vertical="center"/>
    </xf>
    <xf numFmtId="41" fontId="0" fillId="0" borderId="0" xfId="1" applyFont="1">
      <alignment vertical="center"/>
    </xf>
    <xf numFmtId="3" fontId="0" fillId="0" borderId="0" xfId="0" applyNumberFormat="1" applyAlignment="1">
      <alignment vertical="center"/>
    </xf>
    <xf numFmtId="0" fontId="32" fillId="0" borderId="0" xfId="0" applyFont="1" applyAlignment="1">
      <alignment vertical="center"/>
    </xf>
    <xf numFmtId="49" fontId="58" fillId="17" borderId="0" xfId="0" applyNumberFormat="1" applyFont="1" applyFill="1" applyAlignment="1">
      <alignment vertical="center"/>
    </xf>
    <xf numFmtId="49" fontId="58" fillId="17" borderId="0" xfId="0" applyNumberFormat="1" applyFont="1" applyFill="1" applyAlignment="1">
      <alignment horizontal="center" vertical="center"/>
    </xf>
    <xf numFmtId="0" fontId="63" fillId="0" borderId="0" xfId="0" applyFont="1" applyAlignment="1">
      <alignment vertical="center"/>
    </xf>
    <xf numFmtId="0" fontId="53" fillId="0" borderId="0" xfId="0" applyFont="1" applyAlignment="1">
      <alignment vertical="center"/>
    </xf>
    <xf numFmtId="49" fontId="32" fillId="0" borderId="0" xfId="0" applyNumberFormat="1" applyFont="1" applyAlignment="1">
      <alignment horizontal="right" vertical="center"/>
    </xf>
    <xf numFmtId="41" fontId="32" fillId="0" borderId="0" xfId="1" applyFont="1">
      <alignment vertical="center"/>
    </xf>
    <xf numFmtId="3" fontId="32" fillId="0" borderId="0" xfId="1" applyNumberFormat="1" applyFont="1">
      <alignment vertical="center"/>
    </xf>
    <xf numFmtId="49" fontId="0" fillId="0" borderId="0" xfId="0" applyNumberFormat="1" applyAlignment="1">
      <alignment horizontal="right" vertical="center"/>
    </xf>
    <xf numFmtId="203" fontId="18" fillId="29" borderId="57" xfId="0" applyNumberFormat="1" applyFont="1" applyFill="1" applyBorder="1" applyAlignment="1" applyProtection="1">
      <alignment vertical="center"/>
    </xf>
    <xf numFmtId="203" fontId="18" fillId="29" borderId="58" xfId="0" applyNumberFormat="1" applyFont="1" applyFill="1" applyBorder="1" applyAlignment="1" applyProtection="1">
      <alignment vertical="center"/>
    </xf>
    <xf numFmtId="0" fontId="22" fillId="0" borderId="0" xfId="0" applyFont="1" applyAlignment="1">
      <alignment vertical="center"/>
    </xf>
    <xf numFmtId="191" fontId="43" fillId="2" borderId="0" xfId="37" applyFont="1" applyFill="1" applyAlignment="1">
      <alignment vertical="center"/>
    </xf>
    <xf numFmtId="0" fontId="43" fillId="0" borderId="0" xfId="0" applyFont="1" applyFill="1" applyAlignment="1">
      <alignment vertical="center"/>
    </xf>
    <xf numFmtId="0" fontId="17" fillId="0" borderId="0" xfId="0" applyFont="1" applyFill="1" applyAlignment="1">
      <alignment vertical="center"/>
    </xf>
    <xf numFmtId="14" fontId="17" fillId="0" borderId="0" xfId="0" applyNumberFormat="1" applyFont="1" applyFill="1" applyAlignment="1">
      <alignment vertical="center"/>
    </xf>
    <xf numFmtId="0" fontId="48" fillId="0" borderId="0" xfId="0" applyFont="1" applyFill="1" applyAlignment="1">
      <alignment vertical="center"/>
    </xf>
    <xf numFmtId="191" fontId="19" fillId="2" borderId="0" xfId="37" applyFont="1" applyFill="1" applyAlignment="1">
      <alignment vertical="center"/>
    </xf>
    <xf numFmtId="0" fontId="19" fillId="0" borderId="0" xfId="0" applyFont="1" applyFill="1" applyAlignment="1">
      <alignment vertical="center"/>
    </xf>
    <xf numFmtId="0" fontId="43" fillId="0" borderId="0" xfId="0" applyFont="1" applyAlignment="1">
      <alignment vertical="center"/>
    </xf>
    <xf numFmtId="14" fontId="43" fillId="0" borderId="0" xfId="0" applyNumberFormat="1" applyFont="1" applyAlignment="1">
      <alignment vertical="center"/>
    </xf>
    <xf numFmtId="191" fontId="70" fillId="2" borderId="0" xfId="37" applyFont="1" applyFill="1" applyBorder="1" applyAlignment="1" applyProtection="1">
      <alignment horizontal="center"/>
      <protection locked="0"/>
    </xf>
    <xf numFmtId="0" fontId="70" fillId="0" borderId="0" xfId="0" applyFont="1" applyFill="1" applyBorder="1" applyAlignment="1" applyProtection="1">
      <alignment horizontal="center"/>
      <protection locked="0"/>
    </xf>
    <xf numFmtId="0" fontId="19" fillId="0" borderId="0" xfId="0" applyFont="1" applyFill="1" applyBorder="1" applyAlignment="1">
      <alignment vertical="center"/>
    </xf>
    <xf numFmtId="0" fontId="19" fillId="0" borderId="0" xfId="0" applyFont="1" applyAlignment="1">
      <alignment vertical="center"/>
    </xf>
    <xf numFmtId="14" fontId="55" fillId="0" borderId="0" xfId="0" applyNumberFormat="1" applyFont="1" applyFill="1" applyAlignment="1">
      <alignment vertical="center"/>
    </xf>
    <xf numFmtId="0" fontId="55" fillId="0" borderId="0" xfId="0" applyFont="1" applyFill="1" applyAlignment="1">
      <alignment vertical="center"/>
    </xf>
    <xf numFmtId="0" fontId="42" fillId="0" borderId="0" xfId="0" applyFont="1" applyAlignment="1">
      <alignment horizontal="right" vertical="center"/>
    </xf>
    <xf numFmtId="0" fontId="23" fillId="0" borderId="0" xfId="39" applyFont="1" applyFill="1" applyBorder="1" applyAlignment="1">
      <alignment horizontal="center" vertical="center"/>
    </xf>
    <xf numFmtId="0" fontId="21" fillId="0" borderId="0" xfId="0" applyFont="1" applyAlignment="1">
      <alignment horizontal="right"/>
    </xf>
    <xf numFmtId="0" fontId="21" fillId="0" borderId="0" xfId="0" applyFont="1" applyAlignment="1">
      <alignment horizontal="right" vertical="center"/>
    </xf>
    <xf numFmtId="3" fontId="32" fillId="0" borderId="0" xfId="0" applyNumberFormat="1" applyFont="1" applyAlignment="1">
      <alignment vertical="center"/>
    </xf>
    <xf numFmtId="0" fontId="56" fillId="0" borderId="0" xfId="0" applyFont="1" applyFill="1" applyAlignment="1">
      <alignment horizontal="center" vertical="center"/>
    </xf>
    <xf numFmtId="49" fontId="32" fillId="0" borderId="0" xfId="0" applyNumberFormat="1" applyFont="1" applyFill="1" applyAlignment="1">
      <alignment horizontal="center" vertical="center"/>
    </xf>
    <xf numFmtId="202" fontId="58" fillId="0" borderId="0" xfId="0" applyNumberFormat="1" applyFont="1" applyFill="1" applyBorder="1" applyAlignment="1">
      <alignment horizontal="center" vertical="center"/>
    </xf>
    <xf numFmtId="41" fontId="44" fillId="0" borderId="0" xfId="1" applyFont="1" applyFill="1" applyBorder="1">
      <alignment vertical="center"/>
    </xf>
    <xf numFmtId="41" fontId="42" fillId="0" borderId="0" xfId="1" applyFont="1" applyFill="1" applyBorder="1">
      <alignment vertical="center"/>
    </xf>
    <xf numFmtId="189" fontId="42" fillId="0" borderId="0" xfId="1" applyNumberFormat="1" applyFont="1" applyFill="1" applyBorder="1">
      <alignment vertical="center"/>
    </xf>
    <xf numFmtId="41" fontId="32" fillId="0" borderId="0" xfId="1" applyFont="1" applyFill="1" applyBorder="1">
      <alignment vertical="center"/>
    </xf>
    <xf numFmtId="189" fontId="44" fillId="0" borderId="0" xfId="1" applyNumberFormat="1" applyFont="1" applyFill="1" applyBorder="1">
      <alignment vertical="center"/>
    </xf>
    <xf numFmtId="41" fontId="18" fillId="0" borderId="0" xfId="1" applyNumberFormat="1" applyFont="1">
      <alignment vertical="center"/>
    </xf>
    <xf numFmtId="41" fontId="18" fillId="0" borderId="0" xfId="1" applyFont="1" applyFill="1">
      <alignment vertical="center"/>
    </xf>
    <xf numFmtId="3" fontId="59" fillId="0" borderId="0" xfId="0" applyNumberFormat="1" applyFont="1" applyAlignment="1">
      <alignment vertical="center"/>
    </xf>
    <xf numFmtId="41" fontId="14" fillId="0" borderId="0" xfId="0" applyNumberFormat="1" applyFont="1" applyAlignment="1">
      <alignment vertical="center"/>
    </xf>
    <xf numFmtId="41" fontId="0" fillId="0" borderId="0" xfId="1" applyNumberFormat="1" applyFont="1">
      <alignment vertical="center"/>
    </xf>
    <xf numFmtId="41" fontId="22" fillId="0" borderId="0" xfId="1" applyFont="1">
      <alignment vertical="center"/>
    </xf>
    <xf numFmtId="41" fontId="63" fillId="0" borderId="0" xfId="1" applyFont="1">
      <alignment vertical="center"/>
    </xf>
    <xf numFmtId="0" fontId="31" fillId="0" borderId="0" xfId="4" applyFont="1" applyFill="1" applyBorder="1" applyAlignment="1">
      <alignment horizontal="center" vertical="center" wrapText="1"/>
    </xf>
    <xf numFmtId="41" fontId="31" fillId="0" borderId="0" xfId="5" applyNumberFormat="1" applyFont="1" applyFill="1" applyBorder="1" applyAlignment="1">
      <alignment horizontal="center" vertical="center"/>
    </xf>
    <xf numFmtId="41" fontId="31" fillId="0" borderId="0" xfId="1" applyFont="1" applyFill="1" applyBorder="1" applyAlignment="1">
      <alignment horizontal="center" vertical="center"/>
    </xf>
    <xf numFmtId="41" fontId="31" fillId="0" borderId="0" xfId="5" applyFont="1" applyFill="1" applyBorder="1" applyAlignment="1">
      <alignment horizontal="center" vertical="center"/>
    </xf>
    <xf numFmtId="14" fontId="31" fillId="0" borderId="0" xfId="4" applyNumberFormat="1" applyFont="1" applyFill="1" applyBorder="1" applyAlignment="1">
      <alignment horizontal="center" vertical="center" shrinkToFit="1"/>
    </xf>
    <xf numFmtId="9" fontId="31" fillId="0" borderId="0" xfId="23" applyFont="1" applyFill="1" applyBorder="1" applyAlignment="1">
      <alignment horizontal="center" vertical="center"/>
    </xf>
    <xf numFmtId="9" fontId="52" fillId="0" borderId="0" xfId="23" applyFont="1" applyFill="1" applyBorder="1" applyAlignment="1">
      <alignment horizontal="left" vertical="center" wrapText="1"/>
    </xf>
    <xf numFmtId="0" fontId="45" fillId="0" borderId="0" xfId="4" quotePrefix="1" applyFont="1" applyFill="1" applyBorder="1" applyAlignment="1">
      <alignment horizontal="center" vertical="center" wrapText="1" shrinkToFit="1"/>
    </xf>
    <xf numFmtId="181" fontId="49" fillId="0" borderId="81" xfId="4" applyNumberFormat="1" applyFont="1" applyBorder="1" applyAlignment="1">
      <alignment horizontal="center" vertical="center" wrapText="1"/>
    </xf>
    <xf numFmtId="196" fontId="49" fillId="0" borderId="77" xfId="4" applyNumberFormat="1" applyFont="1" applyBorder="1" applyAlignment="1">
      <alignment horizontal="center" vertical="center" wrapText="1"/>
    </xf>
    <xf numFmtId="41" fontId="50" fillId="4" borderId="77" xfId="8" applyFont="1" applyFill="1" applyBorder="1" applyAlignment="1">
      <alignment horizontal="center" vertical="center" wrapText="1"/>
    </xf>
    <xf numFmtId="41" fontId="24" fillId="0" borderId="77" xfId="22" applyFont="1" applyFill="1" applyBorder="1" applyAlignment="1" applyProtection="1">
      <alignment horizontal="center" vertical="center"/>
    </xf>
    <xf numFmtId="41" fontId="50" fillId="0" borderId="77" xfId="21" applyNumberFormat="1" applyFont="1" applyFill="1" applyBorder="1" applyAlignment="1">
      <alignment vertical="center" wrapText="1"/>
    </xf>
    <xf numFmtId="0" fontId="49" fillId="3" borderId="83" xfId="4" applyFont="1" applyFill="1" applyBorder="1" applyAlignment="1">
      <alignment horizontal="center" vertical="center" wrapText="1"/>
    </xf>
    <xf numFmtId="0" fontId="49" fillId="3" borderId="84" xfId="4" applyFont="1" applyFill="1" applyBorder="1" applyAlignment="1">
      <alignment horizontal="center" vertical="center"/>
    </xf>
    <xf numFmtId="181" fontId="49" fillId="0" borderId="83" xfId="4" applyNumberFormat="1" applyFont="1" applyBorder="1" applyAlignment="1">
      <alignment horizontal="center" vertical="center" wrapText="1"/>
    </xf>
    <xf numFmtId="3" fontId="53" fillId="0" borderId="88" xfId="1" applyNumberFormat="1" applyFont="1" applyBorder="1">
      <alignment vertical="center"/>
    </xf>
    <xf numFmtId="0" fontId="69" fillId="0" borderId="0" xfId="0" applyFont="1" applyFill="1" applyBorder="1" applyAlignment="1">
      <alignment horizontal="center" vertical="center"/>
    </xf>
    <xf numFmtId="14" fontId="69" fillId="0" borderId="0" xfId="0" applyNumberFormat="1" applyFont="1" applyFill="1" applyBorder="1" applyAlignment="1">
      <alignment horizontal="center" vertical="center"/>
    </xf>
    <xf numFmtId="0" fontId="48" fillId="0" borderId="0" xfId="0" applyFont="1" applyFill="1" applyBorder="1" applyAlignment="1">
      <alignment horizontal="center" vertical="center"/>
    </xf>
    <xf numFmtId="0" fontId="42" fillId="0" borderId="0" xfId="0" applyFont="1" applyAlignment="1">
      <alignment horizontal="left" vertical="center" indent="1"/>
    </xf>
    <xf numFmtId="0" fontId="42" fillId="0" borderId="0" xfId="0" applyFont="1" applyFill="1" applyAlignment="1">
      <alignment vertical="center"/>
    </xf>
    <xf numFmtId="0" fontId="44" fillId="0" borderId="0" xfId="0" applyFont="1" applyFill="1" applyAlignment="1">
      <alignment vertical="center"/>
    </xf>
    <xf numFmtId="0" fontId="42" fillId="0" borderId="0" xfId="0" applyFont="1" applyAlignment="1">
      <alignment vertical="center"/>
    </xf>
    <xf numFmtId="0" fontId="42" fillId="0" borderId="0" xfId="0" applyFont="1" applyBorder="1" applyAlignment="1">
      <alignment vertical="center"/>
    </xf>
    <xf numFmtId="0" fontId="42" fillId="0" borderId="0" xfId="0" applyFont="1" applyFill="1" applyAlignment="1">
      <alignment horizontal="left" vertical="center" indent="1"/>
    </xf>
    <xf numFmtId="0" fontId="55" fillId="0" borderId="0" xfId="0" applyFont="1" applyFill="1" applyAlignment="1">
      <alignment horizontal="left" vertical="center" indent="1"/>
    </xf>
    <xf numFmtId="0" fontId="44" fillId="0" borderId="0" xfId="0" applyFont="1" applyFill="1" applyAlignment="1">
      <alignment horizontal="left" vertical="center" indent="1"/>
    </xf>
    <xf numFmtId="0" fontId="43" fillId="0" borderId="0" xfId="0" applyFont="1" applyAlignment="1">
      <alignment horizontal="left" vertical="center"/>
    </xf>
    <xf numFmtId="0" fontId="64" fillId="0" borderId="0" xfId="0" applyFont="1" applyFill="1" applyBorder="1" applyAlignment="1" applyProtection="1">
      <alignment horizontal="center"/>
      <protection locked="0"/>
    </xf>
    <xf numFmtId="0" fontId="27" fillId="0" borderId="0" xfId="50" applyFill="1"/>
    <xf numFmtId="0" fontId="66" fillId="0" borderId="0" xfId="0" applyFont="1" applyFill="1" applyBorder="1" applyAlignment="1" applyProtection="1">
      <alignment horizontal="center"/>
      <protection locked="0"/>
    </xf>
    <xf numFmtId="0" fontId="79" fillId="0" borderId="0" xfId="0" applyFont="1" applyFill="1" applyBorder="1" applyAlignment="1" applyProtection="1">
      <alignment horizontal="center"/>
      <protection locked="0"/>
    </xf>
    <xf numFmtId="0" fontId="80" fillId="0" borderId="0" xfId="0" applyFont="1" applyFill="1" applyBorder="1" applyAlignment="1" applyProtection="1">
      <alignment horizontal="center"/>
      <protection locked="0"/>
    </xf>
    <xf numFmtId="0" fontId="78" fillId="0" borderId="0" xfId="0" applyFont="1" applyFill="1" applyBorder="1" applyAlignment="1" applyProtection="1">
      <alignment horizontal="center"/>
      <protection locked="0"/>
    </xf>
    <xf numFmtId="0" fontId="46" fillId="0" borderId="0" xfId="0" applyFont="1" applyFill="1" applyBorder="1" applyAlignment="1" applyProtection="1">
      <alignment horizontal="center"/>
      <protection locked="0"/>
    </xf>
    <xf numFmtId="0" fontId="44" fillId="0" borderId="0" xfId="0" applyFont="1" applyFill="1" applyBorder="1" applyAlignment="1" applyProtection="1">
      <alignment horizontal="center"/>
      <protection locked="0"/>
    </xf>
    <xf numFmtId="41" fontId="19" fillId="37" borderId="0" xfId="11" applyFont="1" applyFill="1" applyAlignment="1">
      <alignment horizontal="right" vertical="center"/>
    </xf>
    <xf numFmtId="0" fontId="23" fillId="0" borderId="0" xfId="0" applyFont="1" applyFill="1" applyBorder="1" applyAlignment="1" applyProtection="1">
      <alignment horizontal="center"/>
      <protection locked="0"/>
    </xf>
    <xf numFmtId="0" fontId="54" fillId="0" borderId="0" xfId="0" applyFont="1" applyFill="1" applyAlignment="1">
      <alignment vertical="center"/>
    </xf>
    <xf numFmtId="41" fontId="43" fillId="0" borderId="0" xfId="11" applyFont="1" applyAlignment="1">
      <alignment vertical="center"/>
    </xf>
    <xf numFmtId="0" fontId="82" fillId="0" borderId="0" xfId="0" applyFont="1" applyAlignment="1">
      <alignment vertical="center"/>
    </xf>
    <xf numFmtId="41" fontId="26" fillId="0" borderId="0" xfId="11" applyFont="1" applyAlignment="1">
      <alignment vertical="center"/>
    </xf>
    <xf numFmtId="41" fontId="17" fillId="0" borderId="0" xfId="11" applyFont="1" applyAlignment="1">
      <alignment vertical="center"/>
    </xf>
    <xf numFmtId="41" fontId="0" fillId="0" borderId="0" xfId="11" applyFont="1" applyAlignment="1">
      <alignment vertical="center"/>
    </xf>
    <xf numFmtId="0" fontId="0" fillId="0" borderId="0" xfId="0" applyAlignment="1">
      <alignment horizontal="left" vertical="center"/>
    </xf>
    <xf numFmtId="0" fontId="42" fillId="0" borderId="0" xfId="0" applyFont="1" applyAlignment="1">
      <alignment horizontal="left" vertical="center"/>
    </xf>
    <xf numFmtId="41" fontId="43" fillId="0" borderId="0" xfId="0" applyNumberFormat="1" applyFont="1" applyAlignment="1">
      <alignment vertical="center"/>
    </xf>
    <xf numFmtId="0" fontId="43" fillId="0" borderId="0" xfId="0" applyFont="1" applyAlignment="1">
      <alignment vertical="center" wrapText="1"/>
    </xf>
    <xf numFmtId="41" fontId="43" fillId="0" borderId="0" xfId="0" applyNumberFormat="1" applyFont="1" applyAlignment="1">
      <alignment vertical="center" wrapText="1"/>
    </xf>
    <xf numFmtId="0" fontId="50" fillId="0" borderId="0" xfId="0" applyFont="1" applyFill="1" applyBorder="1" applyAlignment="1">
      <alignment horizontal="center" vertical="center"/>
    </xf>
    <xf numFmtId="14" fontId="50" fillId="0" borderId="0" xfId="0" applyNumberFormat="1" applyFont="1" applyFill="1" applyBorder="1" applyAlignment="1">
      <alignment horizontal="center" vertical="center"/>
    </xf>
    <xf numFmtId="0" fontId="50" fillId="0" borderId="0" xfId="0" applyNumberFormat="1" applyFont="1" applyFill="1" applyBorder="1" applyAlignment="1">
      <alignment horizontal="center" vertical="center"/>
    </xf>
    <xf numFmtId="0" fontId="50" fillId="0" borderId="0" xfId="36" applyFont="1" applyFill="1" applyBorder="1" applyAlignment="1" applyProtection="1">
      <alignment vertical="center"/>
    </xf>
    <xf numFmtId="196" fontId="50" fillId="0" borderId="0" xfId="0" applyNumberFormat="1" applyFont="1" applyFill="1" applyBorder="1" applyAlignment="1">
      <alignment horizontal="right" vertical="center"/>
    </xf>
    <xf numFmtId="10" fontId="50" fillId="0" borderId="0" xfId="0" applyNumberFormat="1" applyFont="1" applyFill="1" applyBorder="1" applyAlignment="1">
      <alignment horizontal="center" vertical="center"/>
    </xf>
    <xf numFmtId="0" fontId="42" fillId="0" borderId="0" xfId="0" applyFont="1" applyFill="1" applyBorder="1" applyAlignment="1">
      <alignment vertical="center"/>
    </xf>
    <xf numFmtId="41" fontId="43" fillId="0" borderId="0" xfId="11" applyFont="1" applyFill="1" applyAlignment="1">
      <alignment vertical="center"/>
    </xf>
    <xf numFmtId="0" fontId="50" fillId="0" borderId="0" xfId="0" applyFont="1" applyFill="1" applyBorder="1" applyAlignment="1">
      <alignment vertical="center"/>
    </xf>
    <xf numFmtId="189" fontId="50" fillId="0" borderId="0" xfId="0" applyNumberFormat="1" applyFont="1" applyFill="1" applyBorder="1" applyAlignment="1">
      <alignment horizontal="right" vertical="center"/>
    </xf>
    <xf numFmtId="0" fontId="66" fillId="2" borderId="0" xfId="0" applyFont="1" applyFill="1" applyBorder="1" applyAlignment="1" applyProtection="1">
      <alignment horizontal="center"/>
      <protection locked="0"/>
    </xf>
    <xf numFmtId="0" fontId="79" fillId="2" borderId="0" xfId="0" applyFont="1" applyFill="1" applyBorder="1" applyAlignment="1" applyProtection="1">
      <alignment horizontal="center"/>
      <protection locked="0"/>
    </xf>
    <xf numFmtId="0" fontId="80" fillId="2" borderId="0" xfId="0" applyFont="1" applyFill="1" applyBorder="1" applyAlignment="1" applyProtection="1">
      <alignment horizontal="center"/>
      <protection locked="0"/>
    </xf>
    <xf numFmtId="0" fontId="78" fillId="2" borderId="0" xfId="0" applyFont="1" applyFill="1" applyBorder="1" applyAlignment="1" applyProtection="1">
      <alignment horizontal="center"/>
      <protection locked="0"/>
    </xf>
    <xf numFmtId="0" fontId="46" fillId="2" borderId="0" xfId="0" applyFont="1" applyFill="1" applyBorder="1" applyAlignment="1" applyProtection="1">
      <alignment horizontal="center"/>
      <protection locked="0"/>
    </xf>
    <xf numFmtId="0" fontId="19" fillId="2" borderId="0" xfId="0" applyFont="1" applyFill="1" applyBorder="1" applyAlignment="1">
      <alignment vertical="center"/>
    </xf>
    <xf numFmtId="0" fontId="44" fillId="2" borderId="0" xfId="0" applyFont="1" applyFill="1" applyBorder="1" applyAlignment="1" applyProtection="1">
      <alignment horizontal="center"/>
      <protection locked="0"/>
    </xf>
    <xf numFmtId="41" fontId="43" fillId="2" borderId="0" xfId="11" applyFont="1" applyFill="1" applyAlignment="1">
      <alignment vertical="center"/>
    </xf>
    <xf numFmtId="203" fontId="18" fillId="0" borderId="104" xfId="0" applyNumberFormat="1" applyFont="1" applyFill="1" applyBorder="1" applyAlignment="1" applyProtection="1">
      <alignment horizontal="center" vertical="center"/>
    </xf>
    <xf numFmtId="203" fontId="18" fillId="29" borderId="101" xfId="0" applyNumberFormat="1" applyFont="1" applyFill="1" applyBorder="1" applyAlignment="1" applyProtection="1">
      <alignment vertical="center"/>
    </xf>
    <xf numFmtId="203" fontId="18" fillId="2" borderId="105" xfId="0" applyNumberFormat="1" applyFont="1" applyFill="1" applyBorder="1" applyAlignment="1" applyProtection="1">
      <alignment vertical="center"/>
    </xf>
    <xf numFmtId="203" fontId="18" fillId="0" borderId="105" xfId="0" applyNumberFormat="1" applyFont="1" applyFill="1" applyBorder="1" applyAlignment="1" applyProtection="1">
      <alignment horizontal="center" vertical="center"/>
    </xf>
    <xf numFmtId="203" fontId="18" fillId="2" borderId="101" xfId="0" applyNumberFormat="1" applyFont="1" applyFill="1" applyBorder="1" applyAlignment="1" applyProtection="1">
      <alignment horizontal="center" vertical="center"/>
    </xf>
    <xf numFmtId="203" fontId="18" fillId="0" borderId="105" xfId="0" applyNumberFormat="1" applyFont="1" applyFill="1" applyBorder="1" applyAlignment="1" applyProtection="1">
      <alignment vertical="center"/>
    </xf>
    <xf numFmtId="203" fontId="18" fillId="29" borderId="106" xfId="0" applyNumberFormat="1" applyFont="1" applyFill="1" applyBorder="1" applyAlignment="1" applyProtection="1">
      <alignment vertical="center"/>
    </xf>
    <xf numFmtId="188" fontId="48" fillId="0" borderId="0" xfId="4" applyNumberFormat="1" applyFont="1">
      <alignment vertical="center"/>
    </xf>
    <xf numFmtId="41" fontId="48" fillId="0" borderId="107" xfId="11" applyFont="1" applyFill="1" applyBorder="1" applyAlignment="1">
      <alignment horizontal="center" vertical="center"/>
    </xf>
    <xf numFmtId="41" fontId="48" fillId="0" borderId="108" xfId="11" applyFont="1" applyFill="1" applyBorder="1" applyAlignment="1" applyProtection="1">
      <alignment horizontal="center" vertical="center"/>
      <protection locked="0"/>
    </xf>
    <xf numFmtId="0" fontId="50" fillId="0" borderId="109" xfId="0" applyFont="1" applyFill="1" applyBorder="1" applyAlignment="1">
      <alignment horizontal="left" vertical="center"/>
    </xf>
    <xf numFmtId="41" fontId="43" fillId="0" borderId="107" xfId="11" applyFont="1" applyFill="1" applyBorder="1" applyAlignment="1">
      <alignment horizontal="right" vertical="center"/>
    </xf>
    <xf numFmtId="41" fontId="54" fillId="0" borderId="108" xfId="11" applyFont="1" applyFill="1" applyBorder="1" applyAlignment="1" applyProtection="1">
      <alignment horizontal="right" vertical="center"/>
      <protection locked="0"/>
    </xf>
    <xf numFmtId="0" fontId="66" fillId="0" borderId="109" xfId="0" applyFont="1" applyFill="1" applyBorder="1" applyAlignment="1" applyProtection="1">
      <alignment horizontal="left" vertical="center"/>
      <protection locked="0"/>
    </xf>
    <xf numFmtId="41" fontId="48" fillId="0" borderId="107" xfId="11" applyFont="1" applyFill="1" applyBorder="1" applyAlignment="1">
      <alignment horizontal="right" vertical="center"/>
    </xf>
    <xf numFmtId="41" fontId="48" fillId="0" borderId="108" xfId="11" applyFont="1" applyFill="1" applyBorder="1" applyAlignment="1" applyProtection="1">
      <alignment horizontal="right" vertical="center"/>
      <protection locked="0"/>
    </xf>
    <xf numFmtId="0" fontId="23" fillId="0" borderId="109" xfId="0" applyFont="1" applyFill="1" applyBorder="1" applyAlignment="1" applyProtection="1">
      <alignment horizontal="left" vertical="center"/>
      <protection locked="0"/>
    </xf>
    <xf numFmtId="41" fontId="64" fillId="0" borderId="108" xfId="11" applyFont="1" applyFill="1" applyBorder="1" applyAlignment="1" applyProtection="1">
      <alignment horizontal="right" vertical="center"/>
      <protection locked="0"/>
    </xf>
    <xf numFmtId="0" fontId="64" fillId="0" borderId="109" xfId="0" applyFont="1" applyFill="1" applyBorder="1" applyAlignment="1" applyProtection="1">
      <alignment horizontal="left" vertical="center"/>
      <protection locked="0"/>
    </xf>
    <xf numFmtId="41" fontId="48" fillId="0" borderId="108" xfId="11" applyFont="1" applyFill="1" applyBorder="1" applyAlignment="1">
      <alignment horizontal="right" vertical="center"/>
    </xf>
    <xf numFmtId="0" fontId="48" fillId="0" borderId="109" xfId="0" applyFont="1" applyFill="1" applyBorder="1" applyAlignment="1">
      <alignment horizontal="left" vertical="center"/>
    </xf>
    <xf numFmtId="41" fontId="48" fillId="0" borderId="107" xfId="11" applyFont="1" applyFill="1" applyBorder="1" applyAlignment="1" applyProtection="1">
      <alignment horizontal="right" vertical="center"/>
      <protection locked="0"/>
    </xf>
    <xf numFmtId="41" fontId="43" fillId="0" borderId="108" xfId="11" applyFont="1" applyFill="1" applyBorder="1" applyAlignment="1">
      <alignment horizontal="right" vertical="center"/>
    </xf>
    <xf numFmtId="0" fontId="43" fillId="0" borderId="109" xfId="0" applyFont="1" applyFill="1" applyBorder="1" applyAlignment="1">
      <alignment horizontal="left" vertical="center"/>
    </xf>
    <xf numFmtId="41" fontId="43" fillId="0" borderId="107" xfId="11" applyFont="1" applyFill="1" applyBorder="1" applyAlignment="1">
      <alignment horizontal="left" vertical="center"/>
    </xf>
    <xf numFmtId="41" fontId="43" fillId="0" borderId="108" xfId="11" applyFont="1" applyBorder="1" applyAlignment="1">
      <alignment vertical="center"/>
    </xf>
    <xf numFmtId="41" fontId="43" fillId="0" borderId="108" xfId="11" applyFont="1" applyBorder="1" applyAlignment="1">
      <alignment horizontal="right" vertical="center"/>
    </xf>
    <xf numFmtId="0" fontId="43" fillId="0" borderId="109" xfId="0" applyFont="1" applyBorder="1" applyAlignment="1">
      <alignment horizontal="left" vertical="center"/>
    </xf>
    <xf numFmtId="188" fontId="50" fillId="0" borderId="41" xfId="1" applyNumberFormat="1" applyFont="1" applyFill="1" applyBorder="1" applyAlignment="1">
      <alignment horizontal="center" vertical="center" wrapText="1"/>
    </xf>
    <xf numFmtId="196" fontId="49" fillId="0" borderId="76" xfId="4" applyNumberFormat="1" applyFont="1" applyBorder="1" applyAlignment="1">
      <alignment horizontal="center" vertical="center" wrapText="1"/>
    </xf>
    <xf numFmtId="188" fontId="50" fillId="0" borderId="76" xfId="1" applyNumberFormat="1" applyFont="1" applyFill="1" applyBorder="1" applyAlignment="1">
      <alignment horizontal="center" vertical="center" wrapText="1"/>
    </xf>
    <xf numFmtId="41" fontId="50" fillId="4" borderId="76" xfId="8" applyFont="1" applyFill="1" applyBorder="1" applyAlignment="1">
      <alignment horizontal="center" vertical="center" wrapText="1"/>
    </xf>
    <xf numFmtId="41" fontId="24" fillId="0" borderId="76" xfId="22" applyFont="1" applyFill="1" applyBorder="1" applyAlignment="1" applyProtection="1">
      <alignment horizontal="center" vertical="center"/>
    </xf>
    <xf numFmtId="41" fontId="50" fillId="0" borderId="76" xfId="21" applyNumberFormat="1" applyFont="1" applyFill="1" applyBorder="1" applyAlignment="1">
      <alignment vertical="center" wrapText="1"/>
    </xf>
    <xf numFmtId="0" fontId="46" fillId="0" borderId="109" xfId="0" applyFont="1" applyFill="1" applyBorder="1" applyAlignment="1" applyProtection="1">
      <alignment horizontal="left" vertical="center"/>
      <protection locked="0"/>
    </xf>
    <xf numFmtId="0" fontId="87" fillId="0" borderId="109" xfId="0" applyFont="1" applyFill="1" applyBorder="1" applyAlignment="1">
      <alignment horizontal="left" vertical="center"/>
    </xf>
    <xf numFmtId="41" fontId="23" fillId="0" borderId="0" xfId="1" applyFont="1" applyFill="1" applyBorder="1">
      <alignment vertical="center"/>
    </xf>
    <xf numFmtId="0" fontId="50" fillId="0" borderId="121" xfId="0" applyFont="1" applyFill="1" applyBorder="1" applyAlignment="1">
      <alignment horizontal="center" vertical="center"/>
    </xf>
    <xf numFmtId="0" fontId="50" fillId="0" borderId="120" xfId="0" applyFont="1" applyFill="1" applyBorder="1" applyAlignment="1">
      <alignment horizontal="center" vertical="center"/>
    </xf>
    <xf numFmtId="14" fontId="50" fillId="0" borderId="120" xfId="0" applyNumberFormat="1" applyFont="1" applyFill="1" applyBorder="1" applyAlignment="1">
      <alignment horizontal="center" vertical="center"/>
    </xf>
    <xf numFmtId="0" fontId="50" fillId="0" borderId="120" xfId="0" applyNumberFormat="1" applyFont="1" applyFill="1" applyBorder="1" applyAlignment="1">
      <alignment horizontal="center" vertical="center"/>
    </xf>
    <xf numFmtId="0" fontId="50" fillId="0" borderId="120" xfId="0" applyFont="1" applyFill="1" applyBorder="1" applyAlignment="1">
      <alignment vertical="center"/>
    </xf>
    <xf numFmtId="0" fontId="74" fillId="0" borderId="0" xfId="3" applyFont="1" applyBorder="1" applyAlignment="1">
      <alignment vertical="center"/>
    </xf>
    <xf numFmtId="0" fontId="13" fillId="0" borderId="0" xfId="4" applyFont="1" applyBorder="1">
      <alignment vertical="center"/>
    </xf>
    <xf numFmtId="0" fontId="14" fillId="0" borderId="0" xfId="4" applyFont="1">
      <alignment vertical="center"/>
    </xf>
    <xf numFmtId="0" fontId="75" fillId="0" borderId="0" xfId="4" applyFont="1" applyBorder="1" applyAlignment="1">
      <alignment horizontal="center" vertical="center"/>
    </xf>
    <xf numFmtId="0" fontId="75" fillId="0" borderId="0" xfId="4" applyFont="1" applyFill="1" applyBorder="1" applyAlignment="1"/>
    <xf numFmtId="0" fontId="91" fillId="0" borderId="0" xfId="4" applyFont="1" applyFill="1" applyBorder="1" applyAlignment="1"/>
    <xf numFmtId="0" fontId="92" fillId="0" borderId="0" xfId="4" applyFont="1" applyFill="1" applyBorder="1" applyAlignment="1">
      <alignment horizontal="right"/>
    </xf>
    <xf numFmtId="0" fontId="13" fillId="0" borderId="0" xfId="4" applyFont="1">
      <alignment vertical="center"/>
    </xf>
    <xf numFmtId="0" fontId="93" fillId="0" borderId="0" xfId="4" applyFont="1" applyBorder="1">
      <alignment vertical="center"/>
    </xf>
    <xf numFmtId="0" fontId="13" fillId="0" borderId="0" xfId="4" applyFont="1" applyBorder="1" applyAlignment="1">
      <alignment horizontal="left" vertical="center" wrapText="1"/>
    </xf>
    <xf numFmtId="0" fontId="14" fillId="4" borderId="0" xfId="4" applyFont="1" applyFill="1">
      <alignment vertical="center"/>
    </xf>
    <xf numFmtId="0" fontId="93" fillId="4" borderId="0" xfId="4" applyFont="1" applyFill="1" applyBorder="1">
      <alignment vertical="center"/>
    </xf>
    <xf numFmtId="0" fontId="29" fillId="0" borderId="0" xfId="0" applyFont="1" applyBorder="1" applyAlignment="1">
      <alignment horizontal="right" vertical="center"/>
    </xf>
    <xf numFmtId="0" fontId="28" fillId="4" borderId="0" xfId="0" applyFont="1" applyFill="1" applyBorder="1" applyAlignment="1">
      <alignment horizontal="center" vertical="center"/>
    </xf>
    <xf numFmtId="0" fontId="94" fillId="27" borderId="51" xfId="0" applyFont="1" applyFill="1" applyBorder="1" applyAlignment="1">
      <alignment horizontal="center" vertical="center"/>
    </xf>
    <xf numFmtId="0" fontId="94" fillId="27" borderId="52" xfId="0" applyFont="1" applyFill="1" applyBorder="1" applyAlignment="1">
      <alignment horizontal="center" vertical="center"/>
    </xf>
    <xf numFmtId="0" fontId="94" fillId="4" borderId="0" xfId="0" applyFont="1" applyFill="1" applyBorder="1" applyAlignment="1">
      <alignment horizontal="center" vertical="center"/>
    </xf>
    <xf numFmtId="0" fontId="95" fillId="4" borderId="0" xfId="0" applyFont="1" applyFill="1" applyBorder="1" applyAlignment="1">
      <alignment vertical="center"/>
    </xf>
    <xf numFmtId="0" fontId="96" fillId="4" borderId="0" xfId="0" applyFont="1" applyFill="1" applyBorder="1" applyAlignment="1">
      <alignment vertical="center"/>
    </xf>
    <xf numFmtId="0" fontId="28" fillId="4" borderId="0" xfId="0" applyFont="1" applyFill="1" applyBorder="1" applyAlignment="1">
      <alignment vertical="center"/>
    </xf>
    <xf numFmtId="0" fontId="96" fillId="28" borderId="56" xfId="0" applyFont="1" applyFill="1" applyBorder="1" applyAlignment="1">
      <alignment vertical="center"/>
    </xf>
    <xf numFmtId="0" fontId="96" fillId="4" borderId="0" xfId="0" applyFont="1" applyFill="1" applyBorder="1" applyAlignment="1">
      <alignment horizontal="left" vertical="center" shrinkToFit="1"/>
    </xf>
    <xf numFmtId="0" fontId="94" fillId="4" borderId="0" xfId="0" applyFont="1" applyFill="1" applyBorder="1" applyAlignment="1">
      <alignment horizontal="left" vertical="center" shrinkToFit="1"/>
    </xf>
    <xf numFmtId="0" fontId="96" fillId="4" borderId="0" xfId="0" applyFont="1" applyFill="1" applyBorder="1" applyAlignment="1">
      <alignment vertical="center" shrinkToFit="1"/>
    </xf>
    <xf numFmtId="0" fontId="14" fillId="0" borderId="104" xfId="0" applyFont="1" applyBorder="1" applyAlignment="1">
      <alignment vertical="center"/>
    </xf>
    <xf numFmtId="0" fontId="98" fillId="4" borderId="0" xfId="0" applyFont="1" applyFill="1" applyBorder="1" applyAlignment="1">
      <alignment horizontal="left" vertical="center" shrinkToFit="1"/>
    </xf>
    <xf numFmtId="0" fontId="98" fillId="4" borderId="0" xfId="0" applyFont="1" applyFill="1" applyBorder="1" applyAlignment="1">
      <alignment vertical="center" wrapText="1"/>
    </xf>
    <xf numFmtId="0" fontId="99" fillId="4" borderId="0" xfId="0" applyFont="1" applyFill="1" applyBorder="1" applyAlignment="1">
      <alignment vertical="center"/>
    </xf>
    <xf numFmtId="0" fontId="75" fillId="4" borderId="0" xfId="0" applyFont="1" applyFill="1" applyBorder="1" applyAlignment="1">
      <alignment vertical="center"/>
    </xf>
    <xf numFmtId="0" fontId="100" fillId="4" borderId="0" xfId="0" applyFont="1" applyFill="1" applyBorder="1" applyAlignment="1">
      <alignment vertical="center"/>
    </xf>
    <xf numFmtId="0" fontId="65" fillId="4" borderId="0" xfId="0" applyFont="1" applyFill="1" applyBorder="1" applyAlignment="1">
      <alignment vertical="center"/>
    </xf>
    <xf numFmtId="0" fontId="96" fillId="27" borderId="0" xfId="0" applyFont="1" applyFill="1" applyBorder="1" applyAlignment="1">
      <alignment horizontal="center" vertical="center"/>
    </xf>
    <xf numFmtId="41" fontId="100" fillId="0" borderId="0" xfId="5" applyFont="1" applyBorder="1" applyAlignment="1">
      <alignment horizontal="center" vertical="center"/>
    </xf>
    <xf numFmtId="0" fontId="96" fillId="0" borderId="0" xfId="0" applyFont="1" applyBorder="1" applyAlignment="1">
      <alignment horizontal="left" vertical="center"/>
    </xf>
    <xf numFmtId="203" fontId="18" fillId="0" borderId="57" xfId="0" applyNumberFormat="1" applyFont="1" applyFill="1" applyBorder="1" applyAlignment="1" applyProtection="1">
      <alignment horizontal="center" vertical="center"/>
    </xf>
    <xf numFmtId="0" fontId="94" fillId="27" borderId="132" xfId="0" applyFont="1" applyFill="1" applyBorder="1" applyAlignment="1">
      <alignment horizontal="center" vertical="center"/>
    </xf>
    <xf numFmtId="0" fontId="94" fillId="27" borderId="133" xfId="0" applyFont="1" applyFill="1" applyBorder="1" applyAlignment="1">
      <alignment horizontal="center" vertical="center"/>
    </xf>
    <xf numFmtId="0" fontId="94" fillId="27" borderId="134" xfId="0" applyFont="1" applyFill="1" applyBorder="1" applyAlignment="1">
      <alignment horizontal="center" vertical="center"/>
    </xf>
    <xf numFmtId="0" fontId="94" fillId="27" borderId="135" xfId="0" applyFont="1" applyFill="1" applyBorder="1" applyAlignment="1">
      <alignment horizontal="center" vertical="center"/>
    </xf>
    <xf numFmtId="0" fontId="96" fillId="28" borderId="136" xfId="0" applyFont="1" applyFill="1" applyBorder="1" applyAlignment="1">
      <alignment vertical="center"/>
    </xf>
    <xf numFmtId="0" fontId="96" fillId="28" borderId="135" xfId="0" applyFont="1" applyFill="1" applyBorder="1" applyAlignment="1">
      <alignment vertical="center"/>
    </xf>
    <xf numFmtId="0" fontId="96" fillId="4" borderId="137" xfId="0" applyFont="1" applyFill="1" applyBorder="1" applyAlignment="1">
      <alignment horizontal="left" vertical="center" shrinkToFit="1"/>
    </xf>
    <xf numFmtId="203" fontId="18" fillId="0" borderId="138" xfId="0" applyNumberFormat="1" applyFont="1" applyFill="1" applyBorder="1" applyAlignment="1" applyProtection="1">
      <alignment vertical="center"/>
    </xf>
    <xf numFmtId="0" fontId="96" fillId="4" borderId="138" xfId="0" applyFont="1" applyFill="1" applyBorder="1" applyAlignment="1">
      <alignment horizontal="left" vertical="center" shrinkToFit="1"/>
    </xf>
    <xf numFmtId="0" fontId="96" fillId="28" borderId="139" xfId="0" applyFont="1" applyFill="1" applyBorder="1" applyAlignment="1">
      <alignment vertical="center"/>
    </xf>
    <xf numFmtId="0" fontId="96" fillId="28" borderId="135" xfId="0" applyFont="1" applyFill="1" applyBorder="1" applyAlignment="1">
      <alignment vertical="center" shrinkToFit="1"/>
    </xf>
    <xf numFmtId="203" fontId="18" fillId="0" borderId="140" xfId="0" applyNumberFormat="1" applyFont="1" applyFill="1" applyBorder="1" applyAlignment="1" applyProtection="1">
      <alignment horizontal="center" vertical="center"/>
    </xf>
    <xf numFmtId="0" fontId="63" fillId="4" borderId="138" xfId="0" applyFont="1" applyFill="1" applyBorder="1" applyAlignment="1">
      <alignment horizontal="left" vertical="center" shrinkToFit="1"/>
    </xf>
    <xf numFmtId="0" fontId="97" fillId="4" borderId="138" xfId="0" applyFont="1" applyFill="1" applyBorder="1" applyAlignment="1">
      <alignment horizontal="left" vertical="center" shrinkToFit="1"/>
    </xf>
    <xf numFmtId="0" fontId="97" fillId="2" borderId="138" xfId="0" applyFont="1" applyFill="1" applyBorder="1" applyAlignment="1">
      <alignment horizontal="left" vertical="center" shrinkToFit="1"/>
    </xf>
    <xf numFmtId="0" fontId="63" fillId="2" borderId="138" xfId="0" applyFont="1" applyFill="1" applyBorder="1" applyAlignment="1">
      <alignment horizontal="left" vertical="center" shrinkToFit="1"/>
    </xf>
    <xf numFmtId="189" fontId="102" fillId="0" borderId="120" xfId="0" applyNumberFormat="1" applyFont="1" applyFill="1" applyBorder="1" applyAlignment="1">
      <alignment horizontal="right" vertical="center"/>
    </xf>
    <xf numFmtId="10" fontId="50" fillId="0" borderId="127" xfId="0" applyNumberFormat="1" applyFont="1" applyFill="1" applyBorder="1" applyAlignment="1">
      <alignment horizontal="center" vertical="center"/>
    </xf>
    <xf numFmtId="0" fontId="23" fillId="0" borderId="29" xfId="0" applyFont="1" applyFill="1" applyBorder="1" applyAlignment="1" applyProtection="1">
      <alignment horizontal="center"/>
      <protection locked="0"/>
    </xf>
    <xf numFmtId="0" fontId="23" fillId="0" borderId="120" xfId="0" applyFont="1" applyFill="1" applyBorder="1" applyAlignment="1" applyProtection="1">
      <alignment horizontal="center"/>
      <protection locked="0"/>
    </xf>
    <xf numFmtId="0" fontId="46" fillId="0" borderId="120" xfId="0" applyFont="1" applyFill="1" applyBorder="1" applyAlignment="1" applyProtection="1">
      <alignment horizontal="center"/>
      <protection locked="0"/>
    </xf>
    <xf numFmtId="41" fontId="88" fillId="0" borderId="108" xfId="11" applyFont="1" applyFill="1" applyBorder="1" applyAlignment="1" applyProtection="1">
      <alignment horizontal="center" vertical="center"/>
      <protection locked="0"/>
    </xf>
    <xf numFmtId="0" fontId="50" fillId="0" borderId="157" xfId="0" applyFont="1" applyFill="1" applyBorder="1" applyAlignment="1">
      <alignment horizontal="center" vertical="center"/>
    </xf>
    <xf numFmtId="10" fontId="50" fillId="0" borderId="66" xfId="0" applyNumberFormat="1" applyFont="1" applyFill="1" applyBorder="1" applyAlignment="1">
      <alignment horizontal="center" vertical="center"/>
    </xf>
    <xf numFmtId="0" fontId="78" fillId="0" borderId="148" xfId="0" applyFont="1" applyFill="1" applyBorder="1" applyAlignment="1" applyProtection="1">
      <alignment horizontal="center"/>
      <protection locked="0"/>
    </xf>
    <xf numFmtId="0" fontId="23" fillId="0" borderId="148" xfId="0" applyFont="1" applyFill="1" applyBorder="1" applyAlignment="1" applyProtection="1">
      <alignment horizontal="center"/>
      <protection locked="0"/>
    </xf>
    <xf numFmtId="0" fontId="50" fillId="48" borderId="157" xfId="0" applyFont="1" applyFill="1" applyBorder="1" applyAlignment="1">
      <alignment horizontal="center" vertical="center"/>
    </xf>
    <xf numFmtId="10" fontId="50" fillId="48" borderId="66" xfId="0" applyNumberFormat="1" applyFont="1" applyFill="1" applyBorder="1" applyAlignment="1">
      <alignment horizontal="center" vertical="center"/>
    </xf>
    <xf numFmtId="0" fontId="23" fillId="48" borderId="148" xfId="0" applyFont="1" applyFill="1" applyBorder="1" applyAlignment="1" applyProtection="1">
      <alignment horizontal="center"/>
      <protection locked="0"/>
    </xf>
    <xf numFmtId="41" fontId="48" fillId="48" borderId="107" xfId="11" applyFont="1" applyFill="1" applyBorder="1" applyAlignment="1">
      <alignment horizontal="center" vertical="center"/>
    </xf>
    <xf numFmtId="41" fontId="88" fillId="48" borderId="108" xfId="11" applyFont="1" applyFill="1" applyBorder="1" applyAlignment="1" applyProtection="1">
      <alignment horizontal="right" vertical="center"/>
      <protection locked="0"/>
    </xf>
    <xf numFmtId="41" fontId="48" fillId="48" borderId="108" xfId="11" applyFont="1" applyFill="1" applyBorder="1" applyAlignment="1" applyProtection="1">
      <alignment horizontal="right" vertical="center"/>
      <protection locked="0"/>
    </xf>
    <xf numFmtId="0" fontId="23" fillId="48" borderId="109" xfId="0" applyFont="1" applyFill="1" applyBorder="1" applyAlignment="1" applyProtection="1">
      <alignment horizontal="left" vertical="center"/>
      <protection locked="0"/>
    </xf>
    <xf numFmtId="41" fontId="88" fillId="0" borderId="108" xfId="11" applyFont="1" applyFill="1" applyBorder="1" applyAlignment="1">
      <alignment horizontal="right" vertical="center"/>
    </xf>
    <xf numFmtId="41" fontId="88" fillId="0" borderId="108" xfId="11" applyFont="1" applyFill="1" applyBorder="1" applyAlignment="1" applyProtection="1">
      <alignment horizontal="right" vertical="center"/>
      <protection locked="0"/>
    </xf>
    <xf numFmtId="0" fontId="46" fillId="0" borderId="148" xfId="0" applyFont="1" applyFill="1" applyBorder="1" applyAlignment="1" applyProtection="1">
      <alignment horizontal="center"/>
      <protection locked="0"/>
    </xf>
    <xf numFmtId="0" fontId="66" fillId="0" borderId="148" xfId="0" applyFont="1" applyFill="1" applyBorder="1" applyAlignment="1" applyProtection="1">
      <alignment horizontal="center"/>
      <protection locked="0"/>
    </xf>
    <xf numFmtId="0" fontId="42" fillId="11" borderId="0" xfId="0" applyFont="1" applyFill="1" applyAlignment="1">
      <alignment vertical="center"/>
    </xf>
    <xf numFmtId="0" fontId="19" fillId="11" borderId="0" xfId="0" applyFont="1" applyFill="1" applyAlignment="1">
      <alignment vertical="center"/>
    </xf>
    <xf numFmtId="0" fontId="43" fillId="11" borderId="0" xfId="0" applyFont="1" applyFill="1" applyAlignment="1">
      <alignment vertical="center"/>
    </xf>
    <xf numFmtId="41" fontId="43" fillId="11" borderId="107" xfId="11" applyFont="1" applyFill="1" applyBorder="1" applyAlignment="1">
      <alignment horizontal="left" vertical="center"/>
    </xf>
    <xf numFmtId="41" fontId="43" fillId="11" borderId="108" xfId="11" applyFont="1" applyFill="1" applyBorder="1" applyAlignment="1">
      <alignment vertical="center"/>
    </xf>
    <xf numFmtId="41" fontId="43" fillId="11" borderId="108" xfId="11" applyFont="1" applyFill="1" applyBorder="1" applyAlignment="1">
      <alignment horizontal="right" vertical="center"/>
    </xf>
    <xf numFmtId="0" fontId="43" fillId="11" borderId="109" xfId="0" applyFont="1" applyFill="1" applyBorder="1" applyAlignment="1">
      <alignment horizontal="left" vertical="center"/>
    </xf>
    <xf numFmtId="0" fontId="43" fillId="18" borderId="180" xfId="0" applyFont="1" applyFill="1" applyBorder="1" applyAlignment="1">
      <alignment vertical="center"/>
    </xf>
    <xf numFmtId="0" fontId="66" fillId="0" borderId="182" xfId="0" applyFont="1" applyFill="1" applyBorder="1" applyAlignment="1" applyProtection="1">
      <alignment horizontal="center"/>
      <protection locked="0"/>
    </xf>
    <xf numFmtId="0" fontId="103" fillId="35" borderId="0" xfId="55" applyFont="1" applyFill="1">
      <alignment vertical="center"/>
    </xf>
    <xf numFmtId="0" fontId="11" fillId="35" borderId="0" xfId="55" applyFont="1" applyFill="1">
      <alignment vertical="center"/>
    </xf>
    <xf numFmtId="0" fontId="104" fillId="35" borderId="0" xfId="55" applyFont="1" applyFill="1" applyAlignment="1">
      <alignment horizontal="right" vertical="center"/>
    </xf>
    <xf numFmtId="0" fontId="3" fillId="0" borderId="0" xfId="55" applyFill="1">
      <alignment vertical="center"/>
    </xf>
    <xf numFmtId="0" fontId="3" fillId="0" borderId="0" xfId="55">
      <alignment vertical="center"/>
    </xf>
    <xf numFmtId="0" fontId="103" fillId="0" borderId="0" xfId="55" applyFont="1" applyFill="1">
      <alignment vertical="center"/>
    </xf>
    <xf numFmtId="0" fontId="11" fillId="0" borderId="0" xfId="55" applyFont="1" applyFill="1">
      <alignment vertical="center"/>
    </xf>
    <xf numFmtId="0" fontId="104" fillId="0" borderId="0" xfId="55" applyFont="1" applyFill="1" applyAlignment="1">
      <alignment horizontal="right" vertical="center"/>
    </xf>
    <xf numFmtId="0" fontId="105" fillId="0" borderId="0" xfId="55" applyFont="1">
      <alignment vertical="center"/>
    </xf>
    <xf numFmtId="0" fontId="106" fillId="0" borderId="0" xfId="55" applyFont="1">
      <alignment vertical="center"/>
    </xf>
    <xf numFmtId="0" fontId="106" fillId="0" borderId="0" xfId="55" applyFont="1" applyAlignment="1">
      <alignment vertical="center"/>
    </xf>
    <xf numFmtId="31" fontId="106" fillId="0" borderId="0" xfId="55" applyNumberFormat="1" applyFont="1" applyAlignment="1">
      <alignment horizontal="left" vertical="center"/>
    </xf>
    <xf numFmtId="10" fontId="106" fillId="0" borderId="0" xfId="55" applyNumberFormat="1" applyFont="1" applyAlignment="1">
      <alignment horizontal="left" vertical="center"/>
    </xf>
    <xf numFmtId="0" fontId="106" fillId="0" borderId="0" xfId="55" applyFont="1" applyAlignment="1">
      <alignment horizontal="right" vertical="center"/>
    </xf>
    <xf numFmtId="0" fontId="107" fillId="37" borderId="167" xfId="55" applyFont="1" applyFill="1" applyBorder="1">
      <alignment vertical="center"/>
    </xf>
    <xf numFmtId="216" fontId="107" fillId="37" borderId="161" xfId="55" applyNumberFormat="1" applyFont="1" applyFill="1" applyBorder="1">
      <alignment vertical="center"/>
    </xf>
    <xf numFmtId="0" fontId="106" fillId="37" borderId="128" xfId="55" applyFont="1" applyFill="1" applyBorder="1" applyAlignment="1">
      <alignment horizontal="center" vertical="center"/>
    </xf>
    <xf numFmtId="0" fontId="106" fillId="37" borderId="128" xfId="55" applyFont="1" applyFill="1" applyBorder="1" applyAlignment="1">
      <alignment horizontal="centerContinuous" vertical="center"/>
    </xf>
    <xf numFmtId="0" fontId="106" fillId="0" borderId="140" xfId="55" applyFont="1" applyBorder="1">
      <alignment vertical="center"/>
    </xf>
    <xf numFmtId="216" fontId="106" fillId="0" borderId="31" xfId="55" applyNumberFormat="1" applyFont="1" applyBorder="1">
      <alignment vertical="center"/>
    </xf>
    <xf numFmtId="0" fontId="106" fillId="0" borderId="128" xfId="55" applyFont="1" applyBorder="1" applyAlignment="1">
      <alignment horizontal="center" vertical="center"/>
    </xf>
    <xf numFmtId="216" fontId="106" fillId="0" borderId="128" xfId="55" applyNumberFormat="1" applyFont="1" applyBorder="1">
      <alignment vertical="center"/>
    </xf>
    <xf numFmtId="0" fontId="107" fillId="37" borderId="140" xfId="55" applyFont="1" applyFill="1" applyBorder="1">
      <alignment vertical="center"/>
    </xf>
    <xf numFmtId="216" fontId="107" fillId="37" borderId="31" xfId="55" applyNumberFormat="1" applyFont="1" applyFill="1" applyBorder="1">
      <alignment vertical="center"/>
    </xf>
    <xf numFmtId="216" fontId="106" fillId="37" borderId="128" xfId="55" applyNumberFormat="1" applyFont="1" applyFill="1" applyBorder="1">
      <alignment vertical="center"/>
    </xf>
    <xf numFmtId="0" fontId="106" fillId="37" borderId="129" xfId="55" applyFont="1" applyFill="1" applyBorder="1" applyAlignment="1">
      <alignment horizontal="centerContinuous" vertical="center"/>
    </xf>
    <xf numFmtId="0" fontId="106" fillId="37" borderId="181" xfId="55" applyFont="1" applyFill="1" applyBorder="1" applyAlignment="1">
      <alignment horizontal="centerContinuous" vertical="center"/>
    </xf>
    <xf numFmtId="0" fontId="106" fillId="37" borderId="149" xfId="55" applyFont="1" applyFill="1" applyBorder="1" applyAlignment="1">
      <alignment horizontal="centerContinuous" vertical="center"/>
    </xf>
    <xf numFmtId="0" fontId="107" fillId="37" borderId="184" xfId="55" applyFont="1" applyFill="1" applyBorder="1">
      <alignment vertical="center"/>
    </xf>
    <xf numFmtId="216" fontId="107" fillId="37" borderId="180" xfId="55" applyNumberFormat="1" applyFont="1" applyFill="1" applyBorder="1">
      <alignment vertical="center"/>
    </xf>
    <xf numFmtId="216" fontId="106" fillId="0" borderId="0" xfId="55" applyNumberFormat="1" applyFont="1">
      <alignment vertical="center"/>
    </xf>
    <xf numFmtId="41" fontId="106" fillId="0" borderId="128" xfId="55" applyNumberFormat="1" applyFont="1" applyBorder="1">
      <alignment vertical="center"/>
    </xf>
    <xf numFmtId="2" fontId="106" fillId="0" borderId="128" xfId="55" applyNumberFormat="1" applyFont="1" applyBorder="1">
      <alignment vertical="center"/>
    </xf>
    <xf numFmtId="0" fontId="106" fillId="37" borderId="168" xfId="55" applyFont="1" applyFill="1" applyBorder="1">
      <alignment vertical="center"/>
    </xf>
    <xf numFmtId="0" fontId="106" fillId="0" borderId="0" xfId="55" applyFont="1" applyBorder="1">
      <alignment vertical="center"/>
    </xf>
    <xf numFmtId="0" fontId="106" fillId="37" borderId="0" xfId="55" applyFont="1" applyFill="1" applyBorder="1">
      <alignment vertical="center"/>
    </xf>
    <xf numFmtId="0" fontId="106" fillId="0" borderId="128" xfId="55" applyFont="1" applyFill="1" applyBorder="1">
      <alignment vertical="center"/>
    </xf>
    <xf numFmtId="10" fontId="106" fillId="0" borderId="128" xfId="55" applyNumberFormat="1" applyFont="1" applyBorder="1">
      <alignment vertical="center"/>
    </xf>
    <xf numFmtId="217" fontId="106" fillId="0" borderId="31" xfId="55" applyNumberFormat="1" applyFont="1" applyBorder="1">
      <alignment vertical="center"/>
    </xf>
    <xf numFmtId="10" fontId="106" fillId="0" borderId="128" xfId="55" applyNumberFormat="1" applyFont="1" applyBorder="1" applyAlignment="1">
      <alignment horizontal="center" vertical="center"/>
    </xf>
    <xf numFmtId="0" fontId="106" fillId="0" borderId="129" xfId="55" applyFont="1" applyBorder="1">
      <alignment vertical="center"/>
    </xf>
    <xf numFmtId="0" fontId="106" fillId="0" borderId="181" xfId="55" applyFont="1" applyBorder="1">
      <alignment vertical="center"/>
    </xf>
    <xf numFmtId="0" fontId="106" fillId="0" borderId="149" xfId="55" applyFont="1" applyBorder="1">
      <alignment vertical="center"/>
    </xf>
    <xf numFmtId="0" fontId="3" fillId="37" borderId="62" xfId="55" applyFill="1" applyBorder="1">
      <alignment vertical="center"/>
    </xf>
    <xf numFmtId="0" fontId="106" fillId="0" borderId="128" xfId="55" applyFont="1" applyBorder="1">
      <alignment vertical="center"/>
    </xf>
    <xf numFmtId="0" fontId="3" fillId="0" borderId="0" xfId="55" applyBorder="1">
      <alignment vertical="center"/>
    </xf>
    <xf numFmtId="216" fontId="3" fillId="0" borderId="31" xfId="55" applyNumberFormat="1" applyBorder="1">
      <alignment vertical="center"/>
    </xf>
    <xf numFmtId="0" fontId="104" fillId="35" borderId="0" xfId="55" applyFont="1" applyFill="1">
      <alignment vertical="center"/>
    </xf>
    <xf numFmtId="49" fontId="32" fillId="0" borderId="0" xfId="56" applyNumberFormat="1" applyFont="1">
      <alignment vertical="center"/>
    </xf>
    <xf numFmtId="41" fontId="3" fillId="0" borderId="0" xfId="56" applyNumberFormat="1">
      <alignment vertical="center"/>
    </xf>
    <xf numFmtId="191" fontId="3" fillId="0" borderId="0" xfId="56">
      <alignment vertical="center"/>
    </xf>
    <xf numFmtId="49" fontId="32" fillId="17" borderId="167" xfId="56" applyNumberFormat="1" applyFont="1" applyFill="1" applyBorder="1">
      <alignment vertical="center"/>
    </xf>
    <xf numFmtId="49" fontId="57" fillId="17" borderId="161" xfId="56" applyNumberFormat="1" applyFont="1" applyFill="1" applyBorder="1" applyAlignment="1">
      <alignment horizontal="center" vertical="center"/>
    </xf>
    <xf numFmtId="41" fontId="58" fillId="17" borderId="179" xfId="56" applyNumberFormat="1" applyFont="1" applyFill="1" applyBorder="1" applyAlignment="1">
      <alignment horizontal="center" vertical="center"/>
    </xf>
    <xf numFmtId="191" fontId="0" fillId="0" borderId="0" xfId="56" applyFont="1">
      <alignment vertical="center"/>
    </xf>
    <xf numFmtId="49" fontId="32" fillId="17" borderId="161" xfId="56" applyNumberFormat="1" applyFont="1" applyFill="1" applyBorder="1">
      <alignment vertical="center"/>
    </xf>
    <xf numFmtId="202" fontId="58" fillId="17" borderId="179" xfId="56" applyNumberFormat="1" applyFont="1" applyFill="1" applyBorder="1" applyAlignment="1">
      <alignment horizontal="center" vertical="center"/>
    </xf>
    <xf numFmtId="41" fontId="44" fillId="0" borderId="179" xfId="57" applyNumberFormat="1" applyFont="1" applyBorder="1">
      <alignment vertical="center"/>
    </xf>
    <xf numFmtId="0" fontId="32" fillId="0" borderId="140" xfId="56" quotePrefix="1" applyNumberFormat="1" applyFont="1" applyBorder="1" applyAlignment="1">
      <alignment horizontal="right" vertical="center"/>
    </xf>
    <xf numFmtId="191" fontId="42" fillId="0" borderId="31" xfId="56" applyFont="1" applyBorder="1">
      <alignment vertical="center"/>
    </xf>
    <xf numFmtId="191" fontId="42" fillId="0" borderId="31" xfId="56" applyFont="1" applyFill="1" applyBorder="1">
      <alignment vertical="center"/>
    </xf>
    <xf numFmtId="191" fontId="3" fillId="0" borderId="0" xfId="56" applyFill="1">
      <alignment vertical="center"/>
    </xf>
    <xf numFmtId="0" fontId="32" fillId="0" borderId="140" xfId="56" quotePrefix="1" applyNumberFormat="1" applyFont="1" applyFill="1" applyBorder="1" applyAlignment="1">
      <alignment horizontal="right" vertical="center"/>
    </xf>
    <xf numFmtId="0" fontId="32" fillId="11" borderId="140" xfId="56" quotePrefix="1" applyNumberFormat="1" applyFont="1" applyFill="1" applyBorder="1" applyAlignment="1">
      <alignment horizontal="right" vertical="center"/>
    </xf>
    <xf numFmtId="191" fontId="42" fillId="11" borderId="31" xfId="56" applyFont="1" applyFill="1" applyBorder="1">
      <alignment vertical="center"/>
    </xf>
    <xf numFmtId="191" fontId="42" fillId="11" borderId="140" xfId="56" applyFont="1" applyFill="1" applyBorder="1">
      <alignment vertical="center"/>
    </xf>
    <xf numFmtId="191" fontId="18" fillId="0" borderId="31" xfId="56" applyFont="1" applyBorder="1" applyAlignment="1">
      <alignment horizontal="left" vertical="center"/>
    </xf>
    <xf numFmtId="49" fontId="32" fillId="0" borderId="140" xfId="56" applyNumberFormat="1" applyFont="1" applyBorder="1" applyAlignment="1">
      <alignment horizontal="right" vertical="center"/>
    </xf>
    <xf numFmtId="191" fontId="32" fillId="0" borderId="31" xfId="56" applyFont="1" applyBorder="1">
      <alignment vertical="center"/>
    </xf>
    <xf numFmtId="49" fontId="32" fillId="0" borderId="140" xfId="56" applyNumberFormat="1" applyFont="1" applyFill="1" applyBorder="1" applyAlignment="1">
      <alignment horizontal="right" vertical="center"/>
    </xf>
    <xf numFmtId="191" fontId="32" fillId="0" borderId="31" xfId="56" applyFont="1" applyFill="1" applyBorder="1">
      <alignment vertical="center"/>
    </xf>
    <xf numFmtId="191" fontId="23" fillId="0" borderId="31" xfId="56" applyFont="1" applyBorder="1">
      <alignment vertical="center"/>
    </xf>
    <xf numFmtId="191" fontId="42" fillId="19" borderId="140" xfId="56" applyFont="1" applyFill="1" applyBorder="1">
      <alignment vertical="center"/>
    </xf>
    <xf numFmtId="191" fontId="59" fillId="19" borderId="31" xfId="56" applyFont="1" applyFill="1" applyBorder="1">
      <alignment vertical="center"/>
    </xf>
    <xf numFmtId="49" fontId="32" fillId="0" borderId="140" xfId="56" quotePrefix="1" applyNumberFormat="1" applyFont="1" applyBorder="1" applyAlignment="1">
      <alignment horizontal="right" vertical="center"/>
    </xf>
    <xf numFmtId="49" fontId="32" fillId="11" borderId="140" xfId="56" applyNumberFormat="1" applyFont="1" applyFill="1" applyBorder="1" applyAlignment="1">
      <alignment horizontal="right" vertical="center"/>
    </xf>
    <xf numFmtId="41" fontId="18" fillId="0" borderId="0" xfId="57" applyNumberFormat="1" applyFont="1">
      <alignment vertical="center"/>
    </xf>
    <xf numFmtId="41" fontId="14" fillId="0" borderId="0" xfId="56" applyNumberFormat="1" applyFont="1">
      <alignment vertical="center"/>
    </xf>
    <xf numFmtId="41" fontId="0" fillId="0" borderId="0" xfId="57" applyNumberFormat="1" applyFont="1">
      <alignment vertical="center"/>
    </xf>
    <xf numFmtId="41" fontId="22" fillId="0" borderId="0" xfId="57" applyFont="1">
      <alignment vertical="center"/>
    </xf>
    <xf numFmtId="41" fontId="0" fillId="0" borderId="0" xfId="57" applyFont="1">
      <alignment vertical="center"/>
    </xf>
    <xf numFmtId="216" fontId="3" fillId="0" borderId="0" xfId="56" applyNumberFormat="1">
      <alignment vertical="center"/>
    </xf>
    <xf numFmtId="49" fontId="58" fillId="17" borderId="0" xfId="56" applyNumberFormat="1" applyFont="1" applyFill="1">
      <alignment vertical="center"/>
    </xf>
    <xf numFmtId="49" fontId="58" fillId="17" borderId="0" xfId="56" applyNumberFormat="1" applyFont="1" applyFill="1" applyAlignment="1">
      <alignment horizontal="center" vertical="center"/>
    </xf>
    <xf numFmtId="0" fontId="58" fillId="17" borderId="161" xfId="56" quotePrefix="1" applyNumberFormat="1" applyFont="1" applyFill="1" applyBorder="1" applyAlignment="1">
      <alignment horizontal="center" vertical="center"/>
    </xf>
    <xf numFmtId="41" fontId="63" fillId="0" borderId="0" xfId="57" applyFont="1">
      <alignment vertical="center"/>
    </xf>
    <xf numFmtId="41" fontId="32" fillId="0" borderId="0" xfId="57" applyFont="1">
      <alignment vertical="center"/>
    </xf>
    <xf numFmtId="191" fontId="32" fillId="0" borderId="0" xfId="56" applyFont="1">
      <alignment vertical="center"/>
    </xf>
    <xf numFmtId="3" fontId="63" fillId="18" borderId="149" xfId="57" applyNumberFormat="1" applyFont="1" applyFill="1" applyBorder="1">
      <alignment vertical="center"/>
    </xf>
    <xf numFmtId="3" fontId="3" fillId="0" borderId="0" xfId="56" applyNumberFormat="1">
      <alignment vertical="center"/>
    </xf>
    <xf numFmtId="191" fontId="63" fillId="0" borderId="0" xfId="56" applyFont="1">
      <alignment vertical="center"/>
    </xf>
    <xf numFmtId="191" fontId="32" fillId="11" borderId="0" xfId="56" applyFont="1" applyFill="1">
      <alignment vertical="center"/>
    </xf>
    <xf numFmtId="3" fontId="18" fillId="11" borderId="31" xfId="57" applyNumberFormat="1" applyFont="1" applyFill="1" applyBorder="1">
      <alignment vertical="center"/>
    </xf>
    <xf numFmtId="3" fontId="18" fillId="0" borderId="31" xfId="57" applyNumberFormat="1" applyFont="1" applyBorder="1">
      <alignment vertical="center"/>
    </xf>
    <xf numFmtId="3" fontId="18" fillId="19" borderId="180" xfId="57" applyNumberFormat="1" applyFont="1" applyFill="1" applyBorder="1">
      <alignment vertical="center"/>
    </xf>
    <xf numFmtId="191" fontId="18" fillId="0" borderId="0" xfId="56" applyFont="1">
      <alignment vertical="center"/>
    </xf>
    <xf numFmtId="49" fontId="18" fillId="0" borderId="140" xfId="56" applyNumberFormat="1" applyFont="1" applyBorder="1" applyAlignment="1">
      <alignment horizontal="right" vertical="center"/>
    </xf>
    <xf numFmtId="191" fontId="18" fillId="35" borderId="0" xfId="56" applyFont="1" applyFill="1">
      <alignment vertical="center"/>
    </xf>
    <xf numFmtId="3" fontId="18" fillId="35" borderId="31" xfId="57" applyNumberFormat="1" applyFont="1" applyFill="1" applyBorder="1">
      <alignment vertical="center"/>
    </xf>
    <xf numFmtId="191" fontId="18" fillId="50" borderId="0" xfId="56" applyFont="1" applyFill="1">
      <alignment vertical="center"/>
    </xf>
    <xf numFmtId="3" fontId="18" fillId="50" borderId="31" xfId="57" applyNumberFormat="1" applyFont="1" applyFill="1" applyBorder="1">
      <alignment vertical="center"/>
    </xf>
    <xf numFmtId="3" fontId="18" fillId="19" borderId="149" xfId="57" applyNumberFormat="1" applyFont="1" applyFill="1" applyBorder="1">
      <alignment vertical="center"/>
    </xf>
    <xf numFmtId="191" fontId="18" fillId="49" borderId="0" xfId="56" applyFont="1" applyFill="1">
      <alignment vertical="center"/>
    </xf>
    <xf numFmtId="216" fontId="18" fillId="49" borderId="0" xfId="56" applyNumberFormat="1" applyFont="1" applyFill="1">
      <alignment vertical="center"/>
    </xf>
    <xf numFmtId="41" fontId="65" fillId="0" borderId="0" xfId="57" applyFont="1">
      <alignment vertical="center"/>
    </xf>
    <xf numFmtId="49" fontId="53" fillId="0" borderId="140" xfId="56" applyNumberFormat="1" applyFont="1" applyBorder="1" applyAlignment="1">
      <alignment horizontal="right" vertical="center"/>
    </xf>
    <xf numFmtId="191" fontId="53" fillId="11" borderId="0" xfId="56" applyFont="1" applyFill="1">
      <alignment vertical="center"/>
    </xf>
    <xf numFmtId="3" fontId="53" fillId="11" borderId="31" xfId="57" applyNumberFormat="1" applyFont="1" applyFill="1" applyBorder="1">
      <alignment vertical="center"/>
    </xf>
    <xf numFmtId="3" fontId="13" fillId="0" borderId="0" xfId="56" applyNumberFormat="1" applyFont="1">
      <alignment vertical="center"/>
    </xf>
    <xf numFmtId="191" fontId="53" fillId="0" borderId="0" xfId="56" applyFont="1">
      <alignment vertical="center"/>
    </xf>
    <xf numFmtId="191" fontId="18" fillId="11" borderId="0" xfId="56" applyFont="1" applyFill="1">
      <alignment vertical="center"/>
    </xf>
    <xf numFmtId="3" fontId="18" fillId="49" borderId="31" xfId="57" applyNumberFormat="1" applyFont="1" applyFill="1" applyBorder="1">
      <alignment vertical="center"/>
    </xf>
    <xf numFmtId="191" fontId="53" fillId="35" borderId="0" xfId="56" applyFont="1" applyFill="1">
      <alignment vertical="center"/>
    </xf>
    <xf numFmtId="3" fontId="53" fillId="35" borderId="31" xfId="57" applyNumberFormat="1" applyFont="1" applyFill="1" applyBorder="1">
      <alignment vertical="center"/>
    </xf>
    <xf numFmtId="191" fontId="18" fillId="50" borderId="62" xfId="56" applyFont="1" applyFill="1" applyBorder="1">
      <alignment vertical="center"/>
    </xf>
    <xf numFmtId="3" fontId="63" fillId="11" borderId="149" xfId="57" applyNumberFormat="1" applyFont="1" applyFill="1" applyBorder="1">
      <alignment vertical="center"/>
    </xf>
    <xf numFmtId="191" fontId="18" fillId="0" borderId="0" xfId="56" applyFont="1" applyFill="1">
      <alignment vertical="center"/>
    </xf>
    <xf numFmtId="3" fontId="18" fillId="0" borderId="31" xfId="57" applyNumberFormat="1" applyFont="1" applyFill="1" applyBorder="1">
      <alignment vertical="center"/>
    </xf>
    <xf numFmtId="49" fontId="18" fillId="0" borderId="184" xfId="56" applyNumberFormat="1" applyFont="1" applyBorder="1" applyAlignment="1">
      <alignment horizontal="right" vertical="center"/>
    </xf>
    <xf numFmtId="191" fontId="18" fillId="0" borderId="62" xfId="56" applyFont="1" applyFill="1" applyBorder="1">
      <alignment vertical="center"/>
    </xf>
    <xf numFmtId="49" fontId="53" fillId="0" borderId="184" xfId="56" applyNumberFormat="1" applyFont="1" applyBorder="1" applyAlignment="1">
      <alignment horizontal="right" vertical="center"/>
    </xf>
    <xf numFmtId="191" fontId="53" fillId="0" borderId="62" xfId="56" applyFont="1" applyFill="1" applyBorder="1">
      <alignment vertical="center"/>
    </xf>
    <xf numFmtId="3" fontId="53" fillId="0" borderId="180" xfId="57" applyNumberFormat="1" applyFont="1" applyFill="1" applyBorder="1">
      <alignment vertical="center"/>
    </xf>
    <xf numFmtId="49" fontId="32" fillId="0" borderId="0" xfId="56" applyNumberFormat="1" applyFont="1" applyAlignment="1">
      <alignment horizontal="right" vertical="center"/>
    </xf>
    <xf numFmtId="49" fontId="3" fillId="0" borderId="0" xfId="56" applyNumberFormat="1" applyAlignment="1">
      <alignment horizontal="right" vertical="center"/>
    </xf>
    <xf numFmtId="41" fontId="18" fillId="0" borderId="0" xfId="57" applyFont="1">
      <alignment vertical="center"/>
    </xf>
    <xf numFmtId="0" fontId="105" fillId="51" borderId="0" xfId="55" applyFont="1" applyFill="1">
      <alignment vertical="center"/>
    </xf>
    <xf numFmtId="217" fontId="3" fillId="0" borderId="31" xfId="55" applyNumberFormat="1" applyBorder="1">
      <alignment vertical="center"/>
    </xf>
    <xf numFmtId="41" fontId="44" fillId="0" borderId="183" xfId="1" applyNumberFormat="1" applyFont="1" applyBorder="1">
      <alignment vertical="center"/>
    </xf>
    <xf numFmtId="41" fontId="44" fillId="0" borderId="183" xfId="1" applyFont="1" applyBorder="1">
      <alignment vertical="center"/>
    </xf>
    <xf numFmtId="41" fontId="42" fillId="0" borderId="183" xfId="1" applyNumberFormat="1" applyFont="1" applyBorder="1">
      <alignment vertical="center"/>
    </xf>
    <xf numFmtId="41" fontId="42" fillId="0" borderId="183" xfId="1" applyFont="1" applyBorder="1">
      <alignment vertical="center"/>
    </xf>
    <xf numFmtId="41" fontId="42" fillId="0" borderId="183" xfId="1" applyNumberFormat="1" applyFont="1" applyFill="1" applyBorder="1">
      <alignment vertical="center"/>
    </xf>
    <xf numFmtId="41" fontId="42" fillId="0" borderId="183" xfId="1" applyFont="1" applyFill="1" applyBorder="1">
      <alignment vertical="center"/>
    </xf>
    <xf numFmtId="189" fontId="42" fillId="0" borderId="183" xfId="1" applyNumberFormat="1" applyFont="1" applyBorder="1">
      <alignment vertical="center"/>
    </xf>
    <xf numFmtId="41" fontId="32" fillId="0" borderId="183" xfId="1" applyNumberFormat="1" applyFont="1" applyBorder="1">
      <alignment vertical="center"/>
    </xf>
    <xf numFmtId="41" fontId="32" fillId="0" borderId="183" xfId="1" applyFont="1" applyBorder="1">
      <alignment vertical="center"/>
    </xf>
    <xf numFmtId="41" fontId="32" fillId="0" borderId="183" xfId="1" applyNumberFormat="1" applyFont="1" applyFill="1" applyBorder="1">
      <alignment vertical="center"/>
    </xf>
    <xf numFmtId="41" fontId="32" fillId="0" borderId="183" xfId="1" applyFont="1" applyFill="1" applyBorder="1">
      <alignment vertical="center"/>
    </xf>
    <xf numFmtId="41" fontId="23" fillId="0" borderId="183" xfId="1" applyNumberFormat="1" applyFont="1" applyBorder="1">
      <alignment vertical="center"/>
    </xf>
    <xf numFmtId="41" fontId="23" fillId="0" borderId="183" xfId="1" applyFont="1" applyBorder="1">
      <alignment vertical="center"/>
    </xf>
    <xf numFmtId="41" fontId="42" fillId="19" borderId="183" xfId="1" applyNumberFormat="1" applyFont="1" applyFill="1" applyBorder="1">
      <alignment vertical="center"/>
    </xf>
    <xf numFmtId="41" fontId="42" fillId="19" borderId="183" xfId="1" applyFont="1" applyFill="1" applyBorder="1">
      <alignment vertical="center"/>
    </xf>
    <xf numFmtId="41" fontId="23" fillId="0" borderId="183" xfId="1" applyNumberFormat="1" applyFont="1" applyFill="1" applyBorder="1">
      <alignment vertical="center"/>
    </xf>
    <xf numFmtId="189" fontId="44" fillId="0" borderId="183" xfId="1" applyNumberFormat="1" applyFont="1" applyBorder="1">
      <alignment vertical="center"/>
    </xf>
    <xf numFmtId="49" fontId="18" fillId="0" borderId="184" xfId="0" applyNumberFormat="1" applyFont="1" applyBorder="1" applyAlignment="1">
      <alignment horizontal="right" vertical="center"/>
    </xf>
    <xf numFmtId="49" fontId="53" fillId="0" borderId="184" xfId="0" applyNumberFormat="1" applyFont="1" applyBorder="1" applyAlignment="1">
      <alignment horizontal="right" vertical="center"/>
    </xf>
    <xf numFmtId="0" fontId="109" fillId="2" borderId="0" xfId="0" applyFont="1" applyFill="1"/>
    <xf numFmtId="0" fontId="109" fillId="2" borderId="0" xfId="0" applyFont="1" applyFill="1" applyAlignment="1">
      <alignment vertical="center"/>
    </xf>
    <xf numFmtId="0" fontId="110" fillId="2" borderId="0" xfId="0" applyFont="1" applyFill="1"/>
    <xf numFmtId="0" fontId="111" fillId="2" borderId="0" xfId="0" applyNumberFormat="1" applyFont="1" applyFill="1"/>
    <xf numFmtId="14" fontId="111" fillId="2" borderId="0" xfId="0" applyNumberFormat="1" applyFont="1" applyFill="1"/>
    <xf numFmtId="0" fontId="111" fillId="2" borderId="0" xfId="0" applyFont="1" applyFill="1" applyAlignment="1">
      <alignment horizontal="center" vertical="center"/>
    </xf>
    <xf numFmtId="41" fontId="109" fillId="2" borderId="0" xfId="1" applyFont="1" applyFill="1" applyAlignment="1"/>
    <xf numFmtId="0" fontId="112" fillId="52" borderId="0" xfId="0" applyFont="1" applyFill="1"/>
    <xf numFmtId="0" fontId="113" fillId="52" borderId="0" xfId="0" applyFont="1" applyFill="1" applyAlignment="1">
      <alignment vertical="center"/>
    </xf>
    <xf numFmtId="41" fontId="112" fillId="52" borderId="0" xfId="1" applyFont="1" applyFill="1" applyAlignment="1"/>
    <xf numFmtId="41" fontId="109" fillId="2" borderId="0" xfId="0" applyNumberFormat="1" applyFont="1" applyFill="1"/>
    <xf numFmtId="0" fontId="109" fillId="53" borderId="51" xfId="0" applyFont="1" applyFill="1" applyBorder="1"/>
    <xf numFmtId="0" fontId="109" fillId="53" borderId="191" xfId="0" applyFont="1" applyFill="1" applyBorder="1" applyAlignment="1">
      <alignment vertical="center"/>
    </xf>
    <xf numFmtId="0" fontId="109" fillId="53" borderId="52" xfId="0" applyFont="1" applyFill="1" applyBorder="1" applyAlignment="1">
      <alignment vertical="center"/>
    </xf>
    <xf numFmtId="0" fontId="114" fillId="51" borderId="190" xfId="0" applyFont="1" applyFill="1" applyBorder="1" applyAlignment="1">
      <alignment horizontal="center" vertical="center"/>
    </xf>
    <xf numFmtId="14" fontId="115" fillId="2" borderId="190" xfId="0" applyNumberFormat="1" applyFont="1" applyFill="1" applyBorder="1" applyAlignment="1">
      <alignment horizontal="center" vertical="center"/>
    </xf>
    <xf numFmtId="43" fontId="109" fillId="2" borderId="0" xfId="0" applyNumberFormat="1" applyFont="1" applyFill="1"/>
    <xf numFmtId="9" fontId="109" fillId="2" borderId="0" xfId="0" applyNumberFormat="1" applyFont="1" applyFill="1"/>
    <xf numFmtId="0" fontId="116" fillId="2" borderId="0" xfId="0" applyFont="1" applyFill="1" applyBorder="1" applyAlignment="1">
      <alignment horizontal="center"/>
    </xf>
    <xf numFmtId="41" fontId="115" fillId="2" borderId="0" xfId="1" applyFont="1" applyFill="1" applyAlignment="1"/>
    <xf numFmtId="0" fontId="116" fillId="51" borderId="190" xfId="0" applyFont="1" applyFill="1" applyBorder="1" applyAlignment="1">
      <alignment horizontal="center" vertical="center"/>
    </xf>
    <xf numFmtId="41" fontId="109" fillId="2" borderId="190" xfId="1" applyFont="1" applyFill="1" applyBorder="1" applyAlignment="1">
      <alignment horizontal="center" vertical="center"/>
    </xf>
    <xf numFmtId="0" fontId="117" fillId="53" borderId="192" xfId="0" applyFont="1" applyFill="1" applyBorder="1" applyAlignment="1">
      <alignment horizontal="centerContinuous" vertical="center"/>
    </xf>
    <xf numFmtId="0" fontId="114" fillId="53" borderId="0" xfId="0" applyFont="1" applyFill="1" applyBorder="1" applyAlignment="1">
      <alignment horizontal="centerContinuous" vertical="center"/>
    </xf>
    <xf numFmtId="0" fontId="114" fillId="53" borderId="193" xfId="0" applyFont="1" applyFill="1" applyBorder="1" applyAlignment="1">
      <alignment horizontal="centerContinuous" vertical="center"/>
    </xf>
    <xf numFmtId="0" fontId="118" fillId="51" borderId="190" xfId="0" applyFont="1" applyFill="1" applyBorder="1" applyAlignment="1">
      <alignment horizontal="center" vertical="center" wrapText="1"/>
    </xf>
    <xf numFmtId="9" fontId="109" fillId="2" borderId="0" xfId="1" applyNumberFormat="1" applyFont="1" applyFill="1" applyAlignment="1"/>
    <xf numFmtId="0" fontId="116" fillId="2" borderId="0" xfId="0" applyFont="1" applyFill="1" applyBorder="1" applyAlignment="1">
      <alignment horizontal="center" vertical="center"/>
    </xf>
    <xf numFmtId="41" fontId="109" fillId="2" borderId="0" xfId="1" applyFont="1" applyFill="1" applyBorder="1" applyAlignment="1">
      <alignment horizontal="center" vertical="center"/>
    </xf>
    <xf numFmtId="0" fontId="109" fillId="53" borderId="194" xfId="0" applyFont="1" applyFill="1" applyBorder="1"/>
    <xf numFmtId="0" fontId="109" fillId="53" borderId="195" xfId="0" applyFont="1" applyFill="1" applyBorder="1" applyAlignment="1">
      <alignment vertical="center"/>
    </xf>
    <xf numFmtId="0" fontId="109" fillId="53" borderId="196" xfId="0" applyFont="1" applyFill="1" applyBorder="1" applyAlignment="1">
      <alignment vertical="center"/>
    </xf>
    <xf numFmtId="0" fontId="119" fillId="51" borderId="190" xfId="0" applyFont="1" applyFill="1" applyBorder="1" applyAlignment="1">
      <alignment horizontal="center" vertical="center"/>
    </xf>
    <xf numFmtId="218" fontId="109" fillId="2" borderId="0" xfId="2" applyNumberFormat="1" applyFont="1" applyFill="1" applyBorder="1" applyAlignment="1">
      <alignment horizontal="center" vertical="center"/>
    </xf>
    <xf numFmtId="41" fontId="109" fillId="2" borderId="0" xfId="1" applyFont="1" applyFill="1" applyBorder="1" applyAlignment="1"/>
    <xf numFmtId="0" fontId="114" fillId="6" borderId="0" xfId="0" applyFont="1" applyFill="1" applyAlignment="1">
      <alignment horizontal="centerContinuous"/>
    </xf>
    <xf numFmtId="0" fontId="109" fillId="2" borderId="0" xfId="0" applyFont="1" applyFill="1" applyAlignment="1">
      <alignment horizontal="center" vertical="center"/>
    </xf>
    <xf numFmtId="0" fontId="120" fillId="51" borderId="190" xfId="0" applyFont="1" applyFill="1" applyBorder="1" applyAlignment="1">
      <alignment horizontal="centerContinuous" vertical="center"/>
    </xf>
    <xf numFmtId="0" fontId="120" fillId="51" borderId="198" xfId="0" applyFont="1" applyFill="1" applyBorder="1" applyAlignment="1">
      <alignment horizontal="centerContinuous" vertical="center"/>
    </xf>
    <xf numFmtId="41" fontId="120" fillId="51" borderId="190" xfId="1" applyFont="1" applyFill="1" applyBorder="1" applyAlignment="1">
      <alignment horizontal="centerContinuous" vertical="center"/>
    </xf>
    <xf numFmtId="0" fontId="121" fillId="2" borderId="0" xfId="0" applyFont="1" applyFill="1" applyBorder="1" applyAlignment="1">
      <alignment horizontal="center" vertical="center"/>
    </xf>
    <xf numFmtId="0" fontId="120" fillId="51" borderId="197" xfId="0" applyFont="1" applyFill="1" applyBorder="1" applyAlignment="1">
      <alignment horizontal="centerContinuous" vertical="center"/>
    </xf>
    <xf numFmtId="0" fontId="120" fillId="51" borderId="190" xfId="0" applyFont="1" applyFill="1" applyBorder="1" applyAlignment="1">
      <alignment horizontal="center" vertical="center"/>
    </xf>
    <xf numFmtId="41" fontId="120" fillId="51" borderId="190" xfId="1" applyFont="1" applyFill="1" applyBorder="1" applyAlignment="1">
      <alignment horizontal="center" vertical="center" wrapText="1"/>
    </xf>
    <xf numFmtId="41" fontId="120" fillId="51" borderId="190" xfId="1" applyFont="1" applyFill="1" applyBorder="1" applyAlignment="1">
      <alignment horizontal="center" vertical="center"/>
    </xf>
    <xf numFmtId="0" fontId="109" fillId="2" borderId="190" xfId="0" applyFont="1" applyFill="1" applyBorder="1" applyAlignment="1">
      <alignment horizontal="centerContinuous" vertical="center"/>
    </xf>
    <xf numFmtId="0" fontId="109" fillId="2" borderId="190" xfId="0" applyFont="1" applyFill="1" applyBorder="1" applyAlignment="1">
      <alignment horizontal="center" vertical="center" wrapText="1"/>
    </xf>
    <xf numFmtId="188" fontId="115" fillId="2" borderId="190" xfId="1" applyNumberFormat="1" applyFont="1" applyFill="1" applyBorder="1" applyAlignment="1">
      <alignment horizontal="right" vertical="center"/>
    </xf>
    <xf numFmtId="188" fontId="109" fillId="2" borderId="190" xfId="1" applyNumberFormat="1" applyFont="1" applyFill="1" applyBorder="1" applyAlignment="1">
      <alignment vertical="center"/>
    </xf>
    <xf numFmtId="188" fontId="115" fillId="2" borderId="190" xfId="1" applyNumberFormat="1" applyFont="1" applyFill="1" applyBorder="1" applyAlignment="1">
      <alignment vertical="center"/>
    </xf>
    <xf numFmtId="177" fontId="109" fillId="2" borderId="190" xfId="2" applyNumberFormat="1" applyFont="1" applyFill="1" applyBorder="1" applyAlignment="1">
      <alignment vertical="center"/>
    </xf>
    <xf numFmtId="220" fontId="109" fillId="2" borderId="190" xfId="0" applyNumberFormat="1" applyFont="1" applyFill="1" applyBorder="1" applyAlignment="1">
      <alignment vertical="center"/>
    </xf>
    <xf numFmtId="221" fontId="109" fillId="2" borderId="190" xfId="0" applyNumberFormat="1" applyFont="1" applyFill="1" applyBorder="1" applyAlignment="1">
      <alignment horizontal="center" vertical="center"/>
    </xf>
    <xf numFmtId="221" fontId="109" fillId="2" borderId="190" xfId="0" applyNumberFormat="1" applyFont="1" applyFill="1" applyBorder="1" applyAlignment="1">
      <alignment vertical="center"/>
    </xf>
    <xf numFmtId="219" fontId="109" fillId="2" borderId="190" xfId="1" applyNumberFormat="1" applyFont="1" applyFill="1" applyBorder="1" applyAlignment="1">
      <alignment vertical="center"/>
    </xf>
    <xf numFmtId="221" fontId="115" fillId="2" borderId="190" xfId="0" applyNumberFormat="1" applyFont="1" applyFill="1" applyBorder="1" applyAlignment="1">
      <alignment horizontal="center" vertical="center"/>
    </xf>
    <xf numFmtId="14" fontId="109" fillId="2" borderId="190" xfId="0" applyNumberFormat="1" applyFont="1" applyFill="1" applyBorder="1" applyAlignment="1">
      <alignment horizontal="center" vertical="center"/>
    </xf>
    <xf numFmtId="222" fontId="115" fillId="2" borderId="190" xfId="1" applyNumberFormat="1" applyFont="1" applyFill="1" applyBorder="1" applyAlignment="1">
      <alignment vertical="center"/>
    </xf>
    <xf numFmtId="222" fontId="112" fillId="2" borderId="190" xfId="1" applyNumberFormat="1" applyFont="1" applyFill="1" applyBorder="1" applyAlignment="1">
      <alignment vertical="center"/>
    </xf>
    <xf numFmtId="221" fontId="115" fillId="2" borderId="190" xfId="1" applyNumberFormat="1" applyFont="1" applyFill="1" applyBorder="1" applyAlignment="1">
      <alignment vertical="center"/>
    </xf>
    <xf numFmtId="221" fontId="115" fillId="2" borderId="190" xfId="1" applyNumberFormat="1" applyFont="1" applyFill="1" applyBorder="1" applyAlignment="1">
      <alignment horizontal="center" vertical="center"/>
    </xf>
    <xf numFmtId="41" fontId="109" fillId="2" borderId="190" xfId="1" applyFont="1" applyFill="1" applyBorder="1" applyAlignment="1">
      <alignment vertical="center"/>
    </xf>
    <xf numFmtId="41" fontId="115" fillId="2" borderId="190" xfId="1" applyFont="1" applyFill="1" applyBorder="1" applyAlignment="1">
      <alignment vertical="center"/>
    </xf>
    <xf numFmtId="41" fontId="112" fillId="2" borderId="190" xfId="1" applyFont="1" applyFill="1" applyBorder="1" applyAlignment="1">
      <alignment vertical="center"/>
    </xf>
    <xf numFmtId="41" fontId="109" fillId="2" borderId="199" xfId="1" applyFont="1" applyFill="1" applyBorder="1" applyAlignment="1">
      <alignment vertical="center"/>
    </xf>
    <xf numFmtId="223" fontId="109" fillId="2" borderId="190" xfId="1" applyNumberFormat="1" applyFont="1" applyFill="1" applyBorder="1" applyAlignment="1">
      <alignment vertical="center"/>
    </xf>
    <xf numFmtId="224" fontId="115" fillId="2" borderId="190" xfId="1" applyNumberFormat="1" applyFont="1" applyFill="1" applyBorder="1" applyAlignment="1">
      <alignment vertical="center"/>
    </xf>
    <xf numFmtId="41" fontId="109" fillId="2" borderId="190" xfId="1" applyFont="1" applyFill="1" applyBorder="1" applyAlignment="1">
      <alignment horizontal="center" vertical="center" wrapText="1"/>
    </xf>
    <xf numFmtId="14" fontId="115" fillId="2" borderId="190" xfId="2" applyNumberFormat="1" applyFont="1" applyFill="1" applyBorder="1" applyAlignment="1">
      <alignment horizontal="center" vertical="center"/>
    </xf>
    <xf numFmtId="14" fontId="112" fillId="2" borderId="190" xfId="2" applyNumberFormat="1" applyFont="1" applyFill="1" applyBorder="1" applyAlignment="1">
      <alignment horizontal="center" vertical="center"/>
    </xf>
    <xf numFmtId="0" fontId="109" fillId="2" borderId="190" xfId="0" applyFont="1" applyFill="1" applyBorder="1" applyAlignment="1">
      <alignment wrapText="1"/>
    </xf>
    <xf numFmtId="9" fontId="115" fillId="2" borderId="190" xfId="2" applyFont="1" applyFill="1" applyBorder="1" applyAlignment="1">
      <alignment horizontal="center" vertical="center"/>
    </xf>
    <xf numFmtId="0" fontId="109" fillId="2" borderId="190" xfId="0" applyFont="1" applyFill="1" applyBorder="1" applyAlignment="1">
      <alignment horizontal="left" vertical="center" wrapText="1"/>
    </xf>
    <xf numFmtId="225" fontId="115" fillId="2" borderId="190" xfId="0" applyNumberFormat="1" applyFont="1" applyFill="1" applyBorder="1" applyAlignment="1">
      <alignment horizontal="center" vertical="center"/>
    </xf>
    <xf numFmtId="0" fontId="109" fillId="2" borderId="190" xfId="0" applyFont="1" applyFill="1" applyBorder="1"/>
    <xf numFmtId="0" fontId="115" fillId="2" borderId="190" xfId="0" applyFont="1" applyFill="1" applyBorder="1" applyAlignment="1">
      <alignment horizontal="center" vertical="center"/>
    </xf>
    <xf numFmtId="0" fontId="115" fillId="2" borderId="0" xfId="0" applyFont="1" applyFill="1" applyBorder="1" applyAlignment="1">
      <alignment horizontal="center" vertical="center"/>
    </xf>
    <xf numFmtId="223" fontId="115" fillId="2" borderId="190" xfId="1" applyNumberFormat="1" applyFont="1" applyFill="1" applyBorder="1" applyAlignment="1">
      <alignment vertical="center"/>
    </xf>
    <xf numFmtId="221" fontId="115" fillId="2" borderId="190" xfId="0" applyNumberFormat="1" applyFont="1" applyFill="1" applyBorder="1" applyAlignment="1">
      <alignment vertical="center"/>
    </xf>
    <xf numFmtId="0" fontId="109" fillId="2" borderId="190" xfId="0" applyFont="1" applyFill="1" applyBorder="1" applyAlignment="1">
      <alignment horizontal="left" vertical="center"/>
    </xf>
    <xf numFmtId="188" fontId="115" fillId="48" borderId="190" xfId="1" applyNumberFormat="1" applyFont="1" applyFill="1" applyBorder="1" applyAlignment="1">
      <alignment horizontal="right" vertical="center"/>
    </xf>
    <xf numFmtId="188" fontId="115" fillId="48" borderId="190" xfId="1" applyNumberFormat="1" applyFont="1" applyFill="1" applyBorder="1" applyAlignment="1">
      <alignment vertical="center"/>
    </xf>
    <xf numFmtId="14" fontId="115" fillId="48" borderId="190" xfId="0" applyNumberFormat="1" applyFont="1" applyFill="1" applyBorder="1" applyAlignment="1">
      <alignment horizontal="center" vertical="center"/>
    </xf>
    <xf numFmtId="219" fontId="109" fillId="48" borderId="190" xfId="1" applyNumberFormat="1" applyFont="1" applyFill="1" applyBorder="1" applyAlignment="1">
      <alignment vertical="center"/>
    </xf>
    <xf numFmtId="221" fontId="115" fillId="48" borderId="190" xfId="1" applyNumberFormat="1" applyFont="1" applyFill="1" applyBorder="1" applyAlignment="1">
      <alignment vertical="center"/>
    </xf>
    <xf numFmtId="221" fontId="115" fillId="48" borderId="190" xfId="1" applyNumberFormat="1" applyFont="1" applyFill="1" applyBorder="1" applyAlignment="1">
      <alignment horizontal="center" vertical="center"/>
    </xf>
    <xf numFmtId="41" fontId="112" fillId="48" borderId="190" xfId="1" applyFont="1" applyFill="1" applyBorder="1" applyAlignment="1">
      <alignment vertical="center"/>
    </xf>
    <xf numFmtId="41" fontId="115" fillId="48" borderId="190" xfId="1" applyFont="1" applyFill="1" applyBorder="1" applyAlignment="1">
      <alignment vertical="center"/>
    </xf>
    <xf numFmtId="224" fontId="115" fillId="48" borderId="190" xfId="1" applyNumberFormat="1" applyFont="1" applyFill="1" applyBorder="1" applyAlignment="1">
      <alignment vertical="center"/>
    </xf>
    <xf numFmtId="14" fontId="115" fillId="48" borderId="190" xfId="2" applyNumberFormat="1" applyFont="1" applyFill="1" applyBorder="1" applyAlignment="1">
      <alignment horizontal="center" vertical="center"/>
    </xf>
    <xf numFmtId="14" fontId="112" fillId="48" borderId="190" xfId="2" applyNumberFormat="1" applyFont="1" applyFill="1" applyBorder="1" applyAlignment="1">
      <alignment horizontal="center" vertical="center"/>
    </xf>
    <xf numFmtId="9" fontId="115" fillId="48" borderId="190" xfId="2" applyFont="1" applyFill="1" applyBorder="1" applyAlignment="1">
      <alignment horizontal="center" vertical="center"/>
    </xf>
    <xf numFmtId="225" fontId="115" fillId="48" borderId="190" xfId="0" applyNumberFormat="1" applyFont="1" applyFill="1" applyBorder="1"/>
    <xf numFmtId="0" fontId="115" fillId="48" borderId="190" xfId="0" applyFont="1" applyFill="1" applyBorder="1" applyAlignment="1">
      <alignment horizontal="center" vertical="center"/>
    </xf>
    <xf numFmtId="0" fontId="114" fillId="51" borderId="51" xfId="0" applyFont="1" applyFill="1" applyBorder="1" applyAlignment="1">
      <alignment horizontal="centerContinuous" vertical="center"/>
    </xf>
    <xf numFmtId="0" fontId="114" fillId="51" borderId="191" xfId="0" applyFont="1" applyFill="1" applyBorder="1" applyAlignment="1">
      <alignment horizontal="centerContinuous" vertical="center"/>
    </xf>
    <xf numFmtId="0" fontId="114" fillId="51" borderId="52" xfId="0" applyFont="1" applyFill="1" applyBorder="1" applyAlignment="1">
      <alignment horizontal="centerContinuous" vertical="center"/>
    </xf>
    <xf numFmtId="0" fontId="114" fillId="51" borderId="190" xfId="0" applyFont="1" applyFill="1" applyBorder="1" applyAlignment="1">
      <alignment horizontal="center" vertical="center" wrapText="1"/>
    </xf>
    <xf numFmtId="188" fontId="116" fillId="51" borderId="190" xfId="1" applyNumberFormat="1" applyFont="1" applyFill="1" applyBorder="1" applyAlignment="1">
      <alignment horizontal="right" vertical="center"/>
    </xf>
    <xf numFmtId="177" fontId="116" fillId="51" borderId="190" xfId="2" applyNumberFormat="1" applyFont="1" applyFill="1" applyBorder="1" applyAlignment="1">
      <alignment horizontal="right" vertical="center"/>
    </xf>
    <xf numFmtId="14" fontId="123" fillId="51" borderId="190" xfId="0" applyNumberFormat="1" applyFont="1" applyFill="1" applyBorder="1" applyAlignment="1">
      <alignment horizontal="center" vertical="center"/>
    </xf>
    <xf numFmtId="0" fontId="123" fillId="51" borderId="190" xfId="0" applyFont="1" applyFill="1" applyBorder="1" applyAlignment="1">
      <alignment horizontal="center" vertical="center"/>
    </xf>
    <xf numFmtId="220" fontId="114" fillId="51" borderId="190" xfId="0" applyNumberFormat="1" applyFont="1" applyFill="1" applyBorder="1" applyAlignment="1">
      <alignment vertical="center"/>
    </xf>
    <xf numFmtId="221" fontId="114" fillId="51" borderId="190" xfId="0" applyNumberFormat="1" applyFont="1" applyFill="1" applyBorder="1" applyAlignment="1">
      <alignment horizontal="center" vertical="center"/>
    </xf>
    <xf numFmtId="221" fontId="114" fillId="51" borderId="190" xfId="0" applyNumberFormat="1" applyFont="1" applyFill="1" applyBorder="1" applyAlignment="1">
      <alignment vertical="center"/>
    </xf>
    <xf numFmtId="219" fontId="114" fillId="51" borderId="190" xfId="1" applyNumberFormat="1" applyFont="1" applyFill="1" applyBorder="1" applyAlignment="1">
      <alignment vertical="center"/>
    </xf>
    <xf numFmtId="221" fontId="123" fillId="51" borderId="190" xfId="0" applyNumberFormat="1" applyFont="1" applyFill="1" applyBorder="1" applyAlignment="1">
      <alignment vertical="center"/>
    </xf>
    <xf numFmtId="14" fontId="114" fillId="51" borderId="190" xfId="0" applyNumberFormat="1" applyFont="1" applyFill="1" applyBorder="1" applyAlignment="1">
      <alignment horizontal="center" vertical="center"/>
    </xf>
    <xf numFmtId="222" fontId="114" fillId="51" borderId="190" xfId="1" applyNumberFormat="1" applyFont="1" applyFill="1" applyBorder="1" applyAlignment="1">
      <alignment vertical="center"/>
    </xf>
    <xf numFmtId="221" fontId="123" fillId="51" borderId="190" xfId="1" applyNumberFormat="1" applyFont="1" applyFill="1" applyBorder="1" applyAlignment="1">
      <alignment vertical="center"/>
    </xf>
    <xf numFmtId="221" fontId="123" fillId="51" borderId="190" xfId="1" applyNumberFormat="1" applyFont="1" applyFill="1" applyBorder="1" applyAlignment="1">
      <alignment horizontal="center" vertical="center"/>
    </xf>
    <xf numFmtId="41" fontId="114" fillId="51" borderId="190" xfId="1" applyFont="1" applyFill="1" applyBorder="1" applyAlignment="1">
      <alignment vertical="center"/>
    </xf>
    <xf numFmtId="41" fontId="123" fillId="51" borderId="190" xfId="1" applyFont="1" applyFill="1" applyBorder="1" applyAlignment="1">
      <alignment vertical="center"/>
    </xf>
    <xf numFmtId="41" fontId="116" fillId="51" borderId="190" xfId="1" applyFont="1" applyFill="1" applyBorder="1" applyAlignment="1">
      <alignment vertical="center"/>
    </xf>
    <xf numFmtId="226" fontId="116" fillId="51" borderId="190" xfId="1" applyNumberFormat="1" applyFont="1" applyFill="1" applyBorder="1" applyAlignment="1">
      <alignment vertical="center"/>
    </xf>
    <xf numFmtId="14" fontId="123" fillId="51" borderId="190" xfId="2" applyNumberFormat="1" applyFont="1" applyFill="1" applyBorder="1" applyAlignment="1">
      <alignment horizontal="center" vertical="center"/>
    </xf>
    <xf numFmtId="14" fontId="116" fillId="51" borderId="190" xfId="2" applyNumberFormat="1" applyFont="1" applyFill="1" applyBorder="1" applyAlignment="1">
      <alignment horizontal="center" vertical="center"/>
    </xf>
    <xf numFmtId="0" fontId="114" fillId="51" borderId="190" xfId="0" applyFont="1" applyFill="1" applyBorder="1"/>
    <xf numFmtId="9" fontId="123" fillId="51" borderId="190" xfId="2" applyFont="1" applyFill="1" applyBorder="1" applyAlignment="1">
      <alignment horizontal="center" vertical="center"/>
    </xf>
    <xf numFmtId="0" fontId="114" fillId="51" borderId="190" xfId="0" applyFont="1" applyFill="1" applyBorder="1" applyAlignment="1">
      <alignment horizontal="left" vertical="center"/>
    </xf>
    <xf numFmtId="225" fontId="123" fillId="51" borderId="190" xfId="0" applyNumberFormat="1" applyFont="1" applyFill="1" applyBorder="1"/>
    <xf numFmtId="0" fontId="123" fillId="2" borderId="0" xfId="0" applyFont="1" applyFill="1" applyBorder="1" applyAlignment="1">
      <alignment horizontal="center" vertical="center"/>
    </xf>
    <xf numFmtId="0" fontId="114" fillId="51" borderId="192" xfId="0" applyFont="1" applyFill="1" applyBorder="1" applyAlignment="1">
      <alignment horizontal="centerContinuous" vertical="center"/>
    </xf>
    <xf numFmtId="0" fontId="114" fillId="51" borderId="0" xfId="0" applyFont="1" applyFill="1" applyBorder="1" applyAlignment="1">
      <alignment horizontal="centerContinuous" vertical="center"/>
    </xf>
    <xf numFmtId="0" fontId="114" fillId="51" borderId="193" xfId="0" applyFont="1" applyFill="1" applyBorder="1" applyAlignment="1">
      <alignment horizontal="centerContinuous" vertical="center"/>
    </xf>
    <xf numFmtId="41" fontId="114" fillId="51" borderId="199" xfId="1" applyFont="1" applyFill="1" applyBorder="1" applyAlignment="1">
      <alignment vertical="center"/>
    </xf>
    <xf numFmtId="223" fontId="114" fillId="51" borderId="190" xfId="1" applyNumberFormat="1" applyFont="1" applyFill="1" applyBorder="1" applyAlignment="1">
      <alignment vertical="center"/>
    </xf>
    <xf numFmtId="224" fontId="123" fillId="51" borderId="190" xfId="1" applyNumberFormat="1" applyFont="1" applyFill="1" applyBorder="1" applyAlignment="1">
      <alignment vertical="center"/>
    </xf>
    <xf numFmtId="221" fontId="115" fillId="2" borderId="106" xfId="0" applyNumberFormat="1" applyFont="1" applyFill="1" applyBorder="1" applyAlignment="1">
      <alignment horizontal="center" vertical="center"/>
    </xf>
    <xf numFmtId="14" fontId="109" fillId="2" borderId="106" xfId="0" applyNumberFormat="1" applyFont="1" applyFill="1" applyBorder="1" applyAlignment="1">
      <alignment horizontal="center" vertical="center"/>
    </xf>
    <xf numFmtId="41" fontId="109" fillId="2" borderId="106" xfId="1" applyFont="1" applyFill="1" applyBorder="1" applyAlignment="1">
      <alignment vertical="center"/>
    </xf>
    <xf numFmtId="0" fontId="109" fillId="2" borderId="106" xfId="0" applyFont="1" applyFill="1" applyBorder="1" applyAlignment="1">
      <alignment horizontal="centerContinuous" vertical="center"/>
    </xf>
    <xf numFmtId="0" fontId="109" fillId="2" borderId="106" xfId="0" applyFont="1" applyFill="1" applyBorder="1" applyAlignment="1">
      <alignment horizontal="center" vertical="center" wrapText="1"/>
    </xf>
    <xf numFmtId="188" fontId="115" fillId="2" borderId="106" xfId="1" applyNumberFormat="1" applyFont="1" applyFill="1" applyBorder="1" applyAlignment="1">
      <alignment horizontal="right" vertical="center"/>
    </xf>
    <xf numFmtId="220" fontId="109" fillId="2" borderId="106" xfId="0" applyNumberFormat="1" applyFont="1" applyFill="1" applyBorder="1" applyAlignment="1">
      <alignment vertical="center"/>
    </xf>
    <xf numFmtId="222" fontId="115" fillId="2" borderId="106" xfId="1" applyNumberFormat="1" applyFont="1" applyFill="1" applyBorder="1" applyAlignment="1">
      <alignment vertical="center"/>
    </xf>
    <xf numFmtId="221" fontId="115" fillId="2" borderId="106" xfId="1" applyNumberFormat="1" applyFont="1" applyFill="1" applyBorder="1" applyAlignment="1">
      <alignment horizontal="center" vertical="center"/>
    </xf>
    <xf numFmtId="41" fontId="115" fillId="2" borderId="106" xfId="1" applyFont="1" applyFill="1" applyBorder="1" applyAlignment="1">
      <alignment vertical="center"/>
    </xf>
    <xf numFmtId="41" fontId="112" fillId="2" borderId="106" xfId="1" applyFont="1" applyFill="1" applyBorder="1" applyAlignment="1">
      <alignment vertical="center"/>
    </xf>
    <xf numFmtId="41" fontId="109" fillId="2" borderId="194" xfId="1" applyFont="1" applyFill="1" applyBorder="1" applyAlignment="1">
      <alignment vertical="center"/>
    </xf>
    <xf numFmtId="223" fontId="115" fillId="2" borderId="106" xfId="1" applyNumberFormat="1" applyFont="1" applyFill="1" applyBorder="1" applyAlignment="1">
      <alignment vertical="center"/>
    </xf>
    <xf numFmtId="14" fontId="115" fillId="2" borderId="106" xfId="0" applyNumberFormat="1" applyFont="1" applyFill="1" applyBorder="1" applyAlignment="1">
      <alignment horizontal="center" vertical="center"/>
    </xf>
    <xf numFmtId="224" fontId="115" fillId="2" borderId="106" xfId="1" applyNumberFormat="1" applyFont="1" applyFill="1" applyBorder="1" applyAlignment="1">
      <alignment vertical="center"/>
    </xf>
    <xf numFmtId="222" fontId="109" fillId="2" borderId="190" xfId="1" applyNumberFormat="1" applyFont="1" applyFill="1" applyBorder="1" applyAlignment="1">
      <alignment vertical="center"/>
    </xf>
    <xf numFmtId="221" fontId="115" fillId="2" borderId="190" xfId="1" applyNumberFormat="1" applyFont="1" applyFill="1" applyBorder="1" applyAlignment="1">
      <alignment horizontal="right" vertical="center"/>
    </xf>
    <xf numFmtId="41" fontId="109" fillId="2" borderId="190" xfId="1" applyFont="1" applyFill="1" applyBorder="1" applyAlignment="1">
      <alignment vertical="center" wrapText="1"/>
    </xf>
    <xf numFmtId="188" fontId="116" fillId="51" borderId="190" xfId="1" applyNumberFormat="1" applyFont="1" applyFill="1" applyBorder="1" applyAlignment="1">
      <alignment horizontal="center" vertical="center"/>
    </xf>
    <xf numFmtId="227" fontId="115" fillId="2" borderId="190" xfId="1" applyNumberFormat="1" applyFont="1" applyFill="1" applyBorder="1" applyAlignment="1">
      <alignment vertical="center"/>
    </xf>
    <xf numFmtId="0" fontId="109" fillId="48" borderId="190" xfId="0" applyFont="1" applyFill="1" applyBorder="1" applyAlignment="1">
      <alignment horizontal="centerContinuous" vertical="center"/>
    </xf>
    <xf numFmtId="0" fontId="109" fillId="48" borderId="190" xfId="0" applyFont="1" applyFill="1" applyBorder="1" applyAlignment="1">
      <alignment horizontal="center" vertical="center" wrapText="1"/>
    </xf>
    <xf numFmtId="188" fontId="109" fillId="48" borderId="190" xfId="1" applyNumberFormat="1" applyFont="1" applyFill="1" applyBorder="1" applyAlignment="1">
      <alignment vertical="center"/>
    </xf>
    <xf numFmtId="177" fontId="109" fillId="48" borderId="190" xfId="2" applyNumberFormat="1" applyFont="1" applyFill="1" applyBorder="1" applyAlignment="1">
      <alignment vertical="center"/>
    </xf>
    <xf numFmtId="220" fontId="109" fillId="48" borderId="190" xfId="0" applyNumberFormat="1" applyFont="1" applyFill="1" applyBorder="1" applyAlignment="1">
      <alignment vertical="center"/>
    </xf>
    <xf numFmtId="221" fontId="109" fillId="48" borderId="190" xfId="0" applyNumberFormat="1" applyFont="1" applyFill="1" applyBorder="1" applyAlignment="1">
      <alignment horizontal="center" vertical="center"/>
    </xf>
    <xf numFmtId="221" fontId="109" fillId="48" borderId="190" xfId="0" applyNumberFormat="1" applyFont="1" applyFill="1" applyBorder="1" applyAlignment="1">
      <alignment vertical="center"/>
    </xf>
    <xf numFmtId="221" fontId="115" fillId="48" borderId="190" xfId="0" applyNumberFormat="1" applyFont="1" applyFill="1" applyBorder="1" applyAlignment="1">
      <alignment horizontal="center" vertical="center"/>
    </xf>
    <xf numFmtId="14" fontId="109" fillId="48" borderId="190" xfId="0" applyNumberFormat="1" applyFont="1" applyFill="1" applyBorder="1" applyAlignment="1">
      <alignment horizontal="center" vertical="center"/>
    </xf>
    <xf numFmtId="222" fontId="115" fillId="48" borderId="190" xfId="1" applyNumberFormat="1" applyFont="1" applyFill="1" applyBorder="1" applyAlignment="1">
      <alignment vertical="center"/>
    </xf>
    <xf numFmtId="222" fontId="109" fillId="48" borderId="190" xfId="1" applyNumberFormat="1" applyFont="1" applyFill="1" applyBorder="1" applyAlignment="1">
      <alignment vertical="center"/>
    </xf>
    <xf numFmtId="41" fontId="109" fillId="48" borderId="190" xfId="1" applyFont="1" applyFill="1" applyBorder="1" applyAlignment="1">
      <alignment vertical="center"/>
    </xf>
    <xf numFmtId="41" fontId="109" fillId="48" borderId="199" xfId="1" applyFont="1" applyFill="1" applyBorder="1" applyAlignment="1">
      <alignment vertical="center"/>
    </xf>
    <xf numFmtId="223" fontId="109" fillId="48" borderId="190" xfId="1" applyNumberFormat="1" applyFont="1" applyFill="1" applyBorder="1" applyAlignment="1">
      <alignment vertical="center"/>
    </xf>
    <xf numFmtId="0" fontId="109" fillId="48" borderId="190" xfId="0" applyFont="1" applyFill="1" applyBorder="1"/>
    <xf numFmtId="0" fontId="109" fillId="48" borderId="190" xfId="0" applyFont="1" applyFill="1" applyBorder="1" applyAlignment="1">
      <alignment horizontal="left" vertical="center"/>
    </xf>
    <xf numFmtId="225" fontId="115" fillId="2" borderId="190" xfId="0" applyNumberFormat="1" applyFont="1" applyFill="1" applyBorder="1"/>
    <xf numFmtId="227" fontId="109" fillId="2" borderId="190" xfId="1" applyNumberFormat="1" applyFont="1" applyFill="1" applyBorder="1" applyAlignment="1">
      <alignment vertical="center"/>
    </xf>
    <xf numFmtId="222" fontId="115" fillId="2" borderId="190" xfId="0" applyNumberFormat="1" applyFont="1" applyFill="1" applyBorder="1" applyAlignment="1">
      <alignment horizontal="center" vertical="center"/>
    </xf>
    <xf numFmtId="0" fontId="109" fillId="2" borderId="0" xfId="0" applyFont="1" applyFill="1" applyBorder="1"/>
    <xf numFmtId="228" fontId="115" fillId="2" borderId="190" xfId="1" applyNumberFormat="1" applyFont="1" applyFill="1" applyBorder="1" applyAlignment="1">
      <alignment vertical="center"/>
    </xf>
    <xf numFmtId="222" fontId="115" fillId="2" borderId="190" xfId="1" applyNumberFormat="1" applyFont="1" applyFill="1" applyBorder="1" applyAlignment="1">
      <alignment horizontal="center" vertical="center"/>
    </xf>
    <xf numFmtId="226" fontId="115" fillId="2" borderId="190" xfId="1" applyNumberFormat="1" applyFont="1" applyFill="1" applyBorder="1" applyAlignment="1">
      <alignment vertical="center"/>
    </xf>
    <xf numFmtId="0" fontId="114" fillId="51" borderId="51" xfId="0" applyFont="1" applyFill="1" applyBorder="1" applyAlignment="1">
      <alignment vertical="center"/>
    </xf>
    <xf numFmtId="0" fontId="114" fillId="51" borderId="191" xfId="0" applyFont="1" applyFill="1" applyBorder="1" applyAlignment="1">
      <alignment vertical="center"/>
    </xf>
    <xf numFmtId="0" fontId="114" fillId="51" borderId="52" xfId="0" applyFont="1" applyFill="1" applyBorder="1" applyAlignment="1">
      <alignment vertical="center"/>
    </xf>
    <xf numFmtId="221" fontId="114" fillId="51" borderId="190" xfId="1" applyNumberFormat="1" applyFont="1" applyFill="1" applyBorder="1" applyAlignment="1">
      <alignment vertical="center"/>
    </xf>
    <xf numFmtId="220" fontId="114" fillId="51" borderId="190" xfId="1" applyNumberFormat="1" applyFont="1" applyFill="1" applyBorder="1" applyAlignment="1">
      <alignment vertical="center"/>
    </xf>
    <xf numFmtId="41" fontId="114" fillId="51" borderId="190" xfId="1" applyNumberFormat="1" applyFont="1" applyFill="1" applyBorder="1" applyAlignment="1">
      <alignment vertical="center"/>
    </xf>
    <xf numFmtId="0" fontId="114" fillId="2" borderId="0" xfId="0" applyFont="1" applyFill="1" applyBorder="1"/>
    <xf numFmtId="188" fontId="114" fillId="51" borderId="190" xfId="1" applyNumberFormat="1" applyFont="1" applyFill="1" applyBorder="1" applyAlignment="1">
      <alignment horizontal="center" vertical="center"/>
    </xf>
    <xf numFmtId="0" fontId="114" fillId="51" borderId="194" xfId="0" applyFont="1" applyFill="1" applyBorder="1" applyAlignment="1">
      <alignment vertical="center"/>
    </xf>
    <xf numFmtId="0" fontId="114" fillId="51" borderId="195" xfId="0" applyFont="1" applyFill="1" applyBorder="1" applyAlignment="1">
      <alignment vertical="center"/>
    </xf>
    <xf numFmtId="0" fontId="114" fillId="51" borderId="196" xfId="0" applyFont="1" applyFill="1" applyBorder="1" applyAlignment="1">
      <alignment vertical="center"/>
    </xf>
    <xf numFmtId="0" fontId="116" fillId="52" borderId="51" xfId="0" applyFont="1" applyFill="1" applyBorder="1" applyAlignment="1">
      <alignment vertical="center"/>
    </xf>
    <xf numFmtId="0" fontId="116" fillId="52" borderId="191" xfId="0" applyFont="1" applyFill="1" applyBorder="1" applyAlignment="1">
      <alignment vertical="center"/>
    </xf>
    <xf numFmtId="0" fontId="116" fillId="52" borderId="52" xfId="0" applyFont="1" applyFill="1" applyBorder="1" applyAlignment="1">
      <alignment vertical="center"/>
    </xf>
    <xf numFmtId="0" fontId="116" fillId="52" borderId="190" xfId="0" applyFont="1" applyFill="1" applyBorder="1" applyAlignment="1">
      <alignment horizontal="center" vertical="center" wrapText="1"/>
    </xf>
    <xf numFmtId="188" fontId="116" fillId="52" borderId="190" xfId="1" applyNumberFormat="1" applyFont="1" applyFill="1" applyBorder="1" applyAlignment="1">
      <alignment horizontal="right" vertical="center"/>
    </xf>
    <xf numFmtId="177" fontId="116" fillId="52" borderId="190" xfId="2" applyNumberFormat="1" applyFont="1" applyFill="1" applyBorder="1" applyAlignment="1">
      <alignment horizontal="right" vertical="center"/>
    </xf>
    <xf numFmtId="188" fontId="116" fillId="52" borderId="190" xfId="1" applyNumberFormat="1" applyFont="1" applyFill="1" applyBorder="1" applyAlignment="1">
      <alignment horizontal="center" vertical="center"/>
    </xf>
    <xf numFmtId="0" fontId="116" fillId="52" borderId="190" xfId="0" applyFont="1" applyFill="1" applyBorder="1" applyAlignment="1">
      <alignment horizontal="center" vertical="center"/>
    </xf>
    <xf numFmtId="220" fontId="116" fillId="52" borderId="190" xfId="0" applyNumberFormat="1" applyFont="1" applyFill="1" applyBorder="1" applyAlignment="1">
      <alignment vertical="center"/>
    </xf>
    <xf numFmtId="221" fontId="116" fillId="52" borderId="190" xfId="0" applyNumberFormat="1" applyFont="1" applyFill="1" applyBorder="1" applyAlignment="1">
      <alignment horizontal="center" vertical="center"/>
    </xf>
    <xf numFmtId="221" fontId="116" fillId="52" borderId="190" xfId="0" applyNumberFormat="1" applyFont="1" applyFill="1" applyBorder="1" applyAlignment="1">
      <alignment vertical="center"/>
    </xf>
    <xf numFmtId="219" fontId="114" fillId="52" borderId="190" xfId="1" applyNumberFormat="1" applyFont="1" applyFill="1" applyBorder="1" applyAlignment="1">
      <alignment vertical="center"/>
    </xf>
    <xf numFmtId="221" fontId="116" fillId="52" borderId="190" xfId="1" applyNumberFormat="1" applyFont="1" applyFill="1" applyBorder="1" applyAlignment="1">
      <alignment vertical="center"/>
    </xf>
    <xf numFmtId="220" fontId="116" fillId="52" borderId="190" xfId="1" applyNumberFormat="1" applyFont="1" applyFill="1" applyBorder="1" applyAlignment="1">
      <alignment vertical="center"/>
    </xf>
    <xf numFmtId="41" fontId="116" fillId="52" borderId="190" xfId="1" applyFont="1" applyFill="1" applyBorder="1" applyAlignment="1">
      <alignment vertical="center"/>
    </xf>
    <xf numFmtId="41" fontId="116" fillId="52" borderId="190" xfId="1" applyNumberFormat="1" applyFont="1" applyFill="1" applyBorder="1" applyAlignment="1">
      <alignment horizontal="right" vertical="center"/>
    </xf>
    <xf numFmtId="41" fontId="114" fillId="52" borderId="190" xfId="1" applyFont="1" applyFill="1" applyBorder="1" applyAlignment="1">
      <alignment vertical="center"/>
    </xf>
    <xf numFmtId="223" fontId="116" fillId="52" borderId="190" xfId="1" applyNumberFormat="1" applyFont="1" applyFill="1" applyBorder="1" applyAlignment="1">
      <alignment horizontal="right" vertical="center"/>
    </xf>
    <xf numFmtId="41" fontId="112" fillId="52" borderId="190" xfId="1" applyFont="1" applyFill="1" applyBorder="1" applyAlignment="1">
      <alignment vertical="center"/>
    </xf>
    <xf numFmtId="0" fontId="112" fillId="52" borderId="190" xfId="0" applyFont="1" applyFill="1" applyBorder="1"/>
    <xf numFmtId="0" fontId="112" fillId="52" borderId="199" xfId="0" applyFont="1" applyFill="1" applyBorder="1"/>
    <xf numFmtId="0" fontId="112" fillId="2" borderId="0" xfId="0" applyFont="1" applyFill="1" applyBorder="1"/>
    <xf numFmtId="0" fontId="125" fillId="52" borderId="192" xfId="0" applyFont="1" applyFill="1" applyBorder="1" applyAlignment="1">
      <alignment horizontal="centerContinuous" vertical="center"/>
    </xf>
    <xf numFmtId="0" fontId="116" fillId="52" borderId="0" xfId="0" applyFont="1" applyFill="1" applyBorder="1" applyAlignment="1">
      <alignment horizontal="centerContinuous" vertical="center"/>
    </xf>
    <xf numFmtId="0" fontId="116" fillId="52" borderId="193" xfId="0" applyFont="1" applyFill="1" applyBorder="1" applyAlignment="1">
      <alignment horizontal="centerContinuous" vertical="center"/>
    </xf>
    <xf numFmtId="41" fontId="116" fillId="52" borderId="199" xfId="1" applyFont="1" applyFill="1" applyBorder="1" applyAlignment="1">
      <alignment vertical="center"/>
    </xf>
    <xf numFmtId="0" fontId="116" fillId="52" borderId="194" xfId="0" applyFont="1" applyFill="1" applyBorder="1" applyAlignment="1">
      <alignment vertical="center"/>
    </xf>
    <xf numFmtId="0" fontId="116" fillId="52" borderId="195" xfId="0" applyFont="1" applyFill="1" applyBorder="1" applyAlignment="1">
      <alignment vertical="center"/>
    </xf>
    <xf numFmtId="0" fontId="116" fillId="52" borderId="196" xfId="0" applyFont="1" applyFill="1" applyBorder="1" applyAlignment="1">
      <alignment vertical="center"/>
    </xf>
    <xf numFmtId="223" fontId="123" fillId="52" borderId="190" xfId="1" applyNumberFormat="1" applyFont="1" applyFill="1" applyBorder="1" applyAlignment="1">
      <alignment horizontal="right" vertical="center"/>
    </xf>
    <xf numFmtId="0" fontId="112" fillId="2" borderId="190" xfId="0" applyFont="1" applyFill="1" applyBorder="1" applyAlignment="1">
      <alignment horizontal="centerContinuous" vertical="center"/>
    </xf>
    <xf numFmtId="0" fontId="112" fillId="2" borderId="190" xfId="0" applyFont="1" applyFill="1" applyBorder="1" applyAlignment="1">
      <alignment horizontal="center" vertical="center"/>
    </xf>
    <xf numFmtId="188" fontId="112" fillId="2" borderId="190" xfId="1" applyNumberFormat="1" applyFont="1" applyFill="1" applyBorder="1" applyAlignment="1">
      <alignment horizontal="centerContinuous" vertical="center"/>
    </xf>
    <xf numFmtId="9" fontId="112" fillId="2" borderId="190" xfId="2" applyNumberFormat="1" applyFont="1" applyFill="1" applyBorder="1" applyAlignment="1">
      <alignment horizontal="centerContinuous" vertical="center"/>
    </xf>
    <xf numFmtId="221" fontId="112" fillId="2" borderId="190" xfId="0" applyNumberFormat="1" applyFont="1" applyFill="1" applyBorder="1" applyAlignment="1">
      <alignment vertical="center"/>
    </xf>
    <xf numFmtId="221" fontId="112" fillId="2" borderId="190" xfId="1" applyNumberFormat="1" applyFont="1" applyFill="1" applyBorder="1" applyAlignment="1">
      <alignment vertical="center"/>
    </xf>
    <xf numFmtId="220" fontId="112" fillId="2" borderId="190" xfId="1" applyNumberFormat="1" applyFont="1" applyFill="1" applyBorder="1" applyAlignment="1">
      <alignment vertical="center"/>
    </xf>
    <xf numFmtId="0" fontId="112" fillId="2" borderId="190" xfId="0" applyFont="1" applyFill="1" applyBorder="1"/>
    <xf numFmtId="0" fontId="116" fillId="51" borderId="190" xfId="0" applyFont="1" applyFill="1" applyBorder="1" applyAlignment="1">
      <alignment horizontal="centerContinuous" vertical="center"/>
    </xf>
    <xf numFmtId="188" fontId="116" fillId="51" borderId="190" xfId="1" applyNumberFormat="1" applyFont="1" applyFill="1" applyBorder="1" applyAlignment="1">
      <alignment horizontal="centerContinuous" vertical="center"/>
    </xf>
    <xf numFmtId="9" fontId="116" fillId="51" borderId="190" xfId="2" applyNumberFormat="1" applyFont="1" applyFill="1" applyBorder="1" applyAlignment="1">
      <alignment horizontal="centerContinuous" vertical="center"/>
    </xf>
    <xf numFmtId="220" fontId="116" fillId="51" borderId="190" xfId="0" applyNumberFormat="1" applyFont="1" applyFill="1" applyBorder="1" applyAlignment="1">
      <alignment vertical="center"/>
    </xf>
    <xf numFmtId="221" fontId="116" fillId="51" borderId="190" xfId="0" applyNumberFormat="1" applyFont="1" applyFill="1" applyBorder="1" applyAlignment="1">
      <alignment horizontal="center" vertical="center"/>
    </xf>
    <xf numFmtId="221" fontId="116" fillId="51" borderId="190" xfId="0" applyNumberFormat="1" applyFont="1" applyFill="1" applyBorder="1" applyAlignment="1">
      <alignment vertical="center"/>
    </xf>
    <xf numFmtId="221" fontId="116" fillId="51" borderId="190" xfId="1" applyNumberFormat="1" applyFont="1" applyFill="1" applyBorder="1" applyAlignment="1">
      <alignment vertical="center"/>
    </xf>
    <xf numFmtId="220" fontId="116" fillId="51" borderId="190" xfId="1" applyNumberFormat="1" applyFont="1" applyFill="1" applyBorder="1" applyAlignment="1">
      <alignment vertical="center"/>
    </xf>
    <xf numFmtId="41" fontId="112" fillId="51" borderId="190" xfId="1" applyFont="1" applyFill="1" applyBorder="1" applyAlignment="1">
      <alignment vertical="center"/>
    </xf>
    <xf numFmtId="0" fontId="112" fillId="51" borderId="190" xfId="0" applyFont="1" applyFill="1" applyBorder="1"/>
    <xf numFmtId="0" fontId="116" fillId="2" borderId="0" xfId="0" applyFont="1" applyFill="1" applyBorder="1" applyAlignment="1">
      <alignment vertical="center"/>
    </xf>
    <xf numFmtId="0" fontId="116" fillId="2" borderId="0" xfId="0" applyFont="1" applyFill="1" applyBorder="1" applyAlignment="1">
      <alignment horizontal="centerContinuous" vertical="center"/>
    </xf>
    <xf numFmtId="188" fontId="116" fillId="2" borderId="0" xfId="1" applyNumberFormat="1" applyFont="1" applyFill="1" applyBorder="1" applyAlignment="1">
      <alignment horizontal="right" vertical="center"/>
    </xf>
    <xf numFmtId="9" fontId="116" fillId="2" borderId="0" xfId="2" applyNumberFormat="1" applyFont="1" applyFill="1" applyBorder="1" applyAlignment="1">
      <alignment horizontal="right" vertical="center"/>
    </xf>
    <xf numFmtId="188" fontId="116" fillId="2" borderId="0" xfId="1" applyNumberFormat="1" applyFont="1" applyFill="1" applyBorder="1" applyAlignment="1">
      <alignment horizontal="center" vertical="center"/>
    </xf>
    <xf numFmtId="220" fontId="116" fillId="2" borderId="0" xfId="0" applyNumberFormat="1" applyFont="1" applyFill="1" applyBorder="1" applyAlignment="1">
      <alignment vertical="center"/>
    </xf>
    <xf numFmtId="221" fontId="116" fillId="2" borderId="0" xfId="0" applyNumberFormat="1" applyFont="1" applyFill="1" applyBorder="1" applyAlignment="1">
      <alignment horizontal="center" vertical="center"/>
    </xf>
    <xf numFmtId="221" fontId="116" fillId="2" borderId="0" xfId="0" applyNumberFormat="1" applyFont="1" applyFill="1" applyBorder="1" applyAlignment="1">
      <alignment vertical="center"/>
    </xf>
    <xf numFmtId="41" fontId="116" fillId="2" borderId="0" xfId="1" applyFont="1" applyFill="1" applyBorder="1" applyAlignment="1">
      <alignment vertical="center"/>
    </xf>
    <xf numFmtId="41" fontId="112" fillId="2" borderId="0" xfId="1" applyFont="1" applyFill="1" applyBorder="1" applyAlignment="1">
      <alignment vertical="center"/>
    </xf>
    <xf numFmtId="0" fontId="116" fillId="54" borderId="0" xfId="0" applyFont="1" applyFill="1" applyBorder="1" applyAlignment="1">
      <alignment vertical="center"/>
    </xf>
    <xf numFmtId="0" fontId="116" fillId="54" borderId="0" xfId="0" applyFont="1" applyFill="1" applyBorder="1" applyAlignment="1">
      <alignment horizontal="centerContinuous" vertical="center"/>
    </xf>
    <xf numFmtId="188" fontId="116" fillId="54" borderId="0" xfId="1" applyNumberFormat="1" applyFont="1" applyFill="1" applyBorder="1" applyAlignment="1">
      <alignment horizontal="right" vertical="center"/>
    </xf>
    <xf numFmtId="9" fontId="116" fillId="54" borderId="0" xfId="2" applyNumberFormat="1" applyFont="1" applyFill="1" applyBorder="1" applyAlignment="1">
      <alignment horizontal="right" vertical="center"/>
    </xf>
    <xf numFmtId="188" fontId="116" fillId="54" borderId="0" xfId="1" applyNumberFormat="1" applyFont="1" applyFill="1" applyBorder="1" applyAlignment="1">
      <alignment horizontal="center" vertical="center"/>
    </xf>
    <xf numFmtId="0" fontId="116" fillId="54" borderId="0" xfId="0" applyFont="1" applyFill="1" applyBorder="1" applyAlignment="1">
      <alignment horizontal="center" vertical="center"/>
    </xf>
    <xf numFmtId="220" fontId="116" fillId="54" borderId="0" xfId="0" applyNumberFormat="1" applyFont="1" applyFill="1" applyBorder="1" applyAlignment="1">
      <alignment vertical="center"/>
    </xf>
    <xf numFmtId="221" fontId="116" fillId="54" borderId="0" xfId="0" applyNumberFormat="1" applyFont="1" applyFill="1" applyBorder="1" applyAlignment="1">
      <alignment horizontal="center" vertical="center"/>
    </xf>
    <xf numFmtId="221" fontId="116" fillId="54" borderId="0" xfId="0" applyNumberFormat="1" applyFont="1" applyFill="1" applyBorder="1" applyAlignment="1">
      <alignment vertical="center"/>
    </xf>
    <xf numFmtId="41" fontId="116" fillId="54" borderId="0" xfId="1" applyFont="1" applyFill="1" applyBorder="1" applyAlignment="1">
      <alignment vertical="center"/>
    </xf>
    <xf numFmtId="41" fontId="112" fillId="54" borderId="0" xfId="1" applyFont="1" applyFill="1" applyBorder="1" applyAlignment="1">
      <alignment vertical="center"/>
    </xf>
    <xf numFmtId="0" fontId="112" fillId="54" borderId="0" xfId="0" applyFont="1" applyFill="1" applyBorder="1"/>
    <xf numFmtId="0" fontId="127" fillId="2" borderId="0" xfId="0" applyFont="1" applyFill="1"/>
    <xf numFmtId="188" fontId="115" fillId="2" borderId="0" xfId="1" applyNumberFormat="1" applyFont="1" applyFill="1" applyAlignment="1">
      <alignment horizontal="right" vertical="center"/>
    </xf>
    <xf numFmtId="188" fontId="109" fillId="2" borderId="0" xfId="1" applyNumberFormat="1" applyFont="1" applyFill="1" applyAlignment="1">
      <alignment vertical="center"/>
    </xf>
    <xf numFmtId="188" fontId="115" fillId="2" borderId="0" xfId="1" applyNumberFormat="1" applyFont="1" applyFill="1" applyAlignment="1">
      <alignment vertical="center"/>
    </xf>
    <xf numFmtId="188" fontId="128" fillId="2" borderId="0" xfId="1" applyNumberFormat="1" applyFont="1" applyFill="1" applyAlignment="1">
      <alignment vertical="center"/>
    </xf>
    <xf numFmtId="188" fontId="109" fillId="2" borderId="0" xfId="1" applyNumberFormat="1" applyFont="1" applyFill="1" applyAlignment="1">
      <alignment horizontal="center" vertical="center"/>
    </xf>
    <xf numFmtId="43" fontId="115" fillId="2" borderId="0" xfId="0" applyNumberFormat="1" applyFont="1" applyFill="1" applyAlignment="1">
      <alignment horizontal="center" vertical="center"/>
    </xf>
    <xf numFmtId="0" fontId="115" fillId="2" borderId="0" xfId="0" applyFont="1" applyFill="1" applyAlignment="1">
      <alignment horizontal="center" vertical="center"/>
    </xf>
    <xf numFmtId="43" fontId="115" fillId="2" borderId="0" xfId="0" applyNumberFormat="1" applyFont="1" applyFill="1"/>
    <xf numFmtId="0" fontId="115" fillId="2" borderId="0" xfId="0" applyFont="1" applyFill="1"/>
    <xf numFmtId="0" fontId="121" fillId="51" borderId="190" xfId="0" applyFont="1" applyFill="1" applyBorder="1" applyAlignment="1">
      <alignment horizontal="centerContinuous" vertical="center"/>
    </xf>
    <xf numFmtId="0" fontId="121" fillId="51" borderId="190" xfId="0" applyFont="1" applyFill="1" applyBorder="1" applyAlignment="1">
      <alignment horizontal="centerContinuous" vertical="center" wrapText="1"/>
    </xf>
    <xf numFmtId="0" fontId="129" fillId="2" borderId="190" xfId="0" applyFont="1" applyFill="1" applyBorder="1" applyAlignment="1">
      <alignment horizontal="centerContinuous"/>
    </xf>
    <xf numFmtId="0" fontId="130" fillId="2" borderId="190" xfId="0" applyFont="1" applyFill="1" applyBorder="1" applyAlignment="1">
      <alignment horizontal="centerContinuous" vertical="center"/>
    </xf>
    <xf numFmtId="0" fontId="131" fillId="2" borderId="190" xfId="0" applyFont="1" applyFill="1" applyBorder="1" applyAlignment="1">
      <alignment horizontal="centerContinuous" vertical="center"/>
    </xf>
    <xf numFmtId="41" fontId="129" fillId="2" borderId="190" xfId="1" applyFont="1" applyFill="1" applyBorder="1" applyAlignment="1">
      <alignment horizontal="centerContinuous" vertical="center"/>
    </xf>
    <xf numFmtId="177" fontId="109" fillId="2" borderId="190" xfId="2" applyNumberFormat="1" applyFont="1" applyFill="1" applyBorder="1" applyAlignment="1">
      <alignment horizontal="centerContinuous" vertical="center"/>
    </xf>
    <xf numFmtId="177" fontId="109" fillId="2" borderId="0" xfId="2" applyNumberFormat="1" applyFont="1" applyFill="1" applyAlignment="1"/>
    <xf numFmtId="0" fontId="132" fillId="51" borderId="190" xfId="0" applyFont="1" applyFill="1" applyBorder="1"/>
    <xf numFmtId="0" fontId="132" fillId="51" borderId="190" xfId="0" applyFont="1" applyFill="1" applyBorder="1" applyAlignment="1">
      <alignment horizontal="centerContinuous" vertical="center"/>
    </xf>
    <xf numFmtId="41" fontId="121" fillId="51" borderId="190" xfId="1" applyFont="1" applyFill="1" applyBorder="1" applyAlignment="1">
      <alignment horizontal="center" vertical="center" wrapText="1"/>
    </xf>
    <xf numFmtId="41" fontId="121" fillId="51" borderId="190" xfId="1" applyFont="1" applyFill="1" applyBorder="1" applyAlignment="1">
      <alignment horizontal="center" vertical="center"/>
    </xf>
    <xf numFmtId="0" fontId="132" fillId="51" borderId="190" xfId="0" applyFont="1" applyFill="1" applyBorder="1" applyAlignment="1">
      <alignment horizontal="centerContinuous" vertical="center" wrapText="1"/>
    </xf>
    <xf numFmtId="0" fontId="132" fillId="51" borderId="190" xfId="0" applyFont="1" applyFill="1" applyBorder="1" applyAlignment="1">
      <alignment horizontal="center" vertical="center" wrapText="1"/>
    </xf>
    <xf numFmtId="0" fontId="131" fillId="2" borderId="190" xfId="0" applyFont="1" applyFill="1" applyBorder="1" applyAlignment="1">
      <alignment horizontal="center"/>
    </xf>
    <xf numFmtId="0" fontId="131" fillId="2" borderId="190" xfId="0" applyFont="1" applyFill="1" applyBorder="1" applyAlignment="1">
      <alignment vertical="center"/>
    </xf>
    <xf numFmtId="188" fontId="132" fillId="2" borderId="190" xfId="1" applyNumberFormat="1" applyFont="1" applyFill="1" applyBorder="1" applyAlignment="1">
      <alignment horizontal="right" vertical="center"/>
    </xf>
    <xf numFmtId="188" fontId="131" fillId="2" borderId="190" xfId="1" applyNumberFormat="1" applyFont="1" applyFill="1" applyBorder="1" applyAlignment="1">
      <alignment vertical="center"/>
    </xf>
    <xf numFmtId="177" fontId="131" fillId="2" borderId="190" xfId="2" applyNumberFormat="1" applyFont="1" applyFill="1" applyBorder="1" applyAlignment="1">
      <alignment vertical="center"/>
    </xf>
    <xf numFmtId="9" fontId="131" fillId="2" borderId="190" xfId="2" applyFont="1" applyFill="1" applyBorder="1" applyAlignment="1">
      <alignment vertical="center"/>
    </xf>
    <xf numFmtId="188" fontId="131" fillId="2" borderId="190" xfId="1" applyNumberFormat="1" applyFont="1" applyFill="1" applyBorder="1" applyAlignment="1">
      <alignment horizontal="center" vertical="center"/>
    </xf>
    <xf numFmtId="43" fontId="129" fillId="2" borderId="190" xfId="0" applyNumberFormat="1" applyFont="1" applyFill="1" applyBorder="1" applyAlignment="1">
      <alignment horizontal="center" vertical="center"/>
    </xf>
    <xf numFmtId="43" fontId="132" fillId="2" borderId="190" xfId="0" applyNumberFormat="1" applyFont="1" applyFill="1" applyBorder="1" applyAlignment="1">
      <alignment horizontal="center" vertical="center"/>
    </xf>
    <xf numFmtId="10" fontId="131" fillId="2" borderId="190" xfId="2" applyNumberFormat="1" applyFont="1" applyFill="1" applyBorder="1" applyAlignment="1">
      <alignment horizontal="center" vertical="center"/>
    </xf>
    <xf numFmtId="177" fontId="131" fillId="2" borderId="190" xfId="2" applyNumberFormat="1" applyFont="1" applyFill="1" applyBorder="1" applyAlignment="1">
      <alignment horizontal="center" vertical="center"/>
    </xf>
    <xf numFmtId="0" fontId="131" fillId="2" borderId="190" xfId="0" applyFont="1" applyFill="1" applyBorder="1"/>
    <xf numFmtId="0" fontId="129" fillId="2" borderId="190" xfId="0" applyFont="1" applyFill="1" applyBorder="1" applyAlignment="1">
      <alignment horizontal="center" vertical="center"/>
    </xf>
    <xf numFmtId="183" fontId="120" fillId="51" borderId="190" xfId="0" applyNumberFormat="1" applyFont="1" applyFill="1" applyBorder="1" applyAlignment="1">
      <alignment vertical="center"/>
    </xf>
    <xf numFmtId="41" fontId="131" fillId="2" borderId="190" xfId="1" applyFont="1" applyFill="1" applyBorder="1" applyAlignment="1"/>
    <xf numFmtId="0" fontId="120" fillId="51" borderId="190" xfId="0" applyFont="1" applyFill="1" applyBorder="1" applyAlignment="1">
      <alignment vertical="center" wrapText="1"/>
    </xf>
    <xf numFmtId="177" fontId="109" fillId="2" borderId="190" xfId="2" applyNumberFormat="1" applyFont="1" applyFill="1" applyBorder="1" applyAlignment="1"/>
    <xf numFmtId="229" fontId="109" fillId="2" borderId="190" xfId="2" applyNumberFormat="1" applyFont="1" applyFill="1" applyBorder="1" applyAlignment="1"/>
    <xf numFmtId="10" fontId="109" fillId="2" borderId="190" xfId="2" applyNumberFormat="1" applyFont="1" applyFill="1" applyBorder="1" applyAlignment="1"/>
    <xf numFmtId="188" fontId="132" fillId="2" borderId="190" xfId="1" applyNumberFormat="1" applyFont="1" applyFill="1" applyBorder="1" applyAlignment="1">
      <alignment vertical="center"/>
    </xf>
    <xf numFmtId="9" fontId="132" fillId="2" borderId="190" xfId="2" applyFont="1" applyFill="1" applyBorder="1" applyAlignment="1">
      <alignment vertical="center"/>
    </xf>
    <xf numFmtId="0" fontId="131" fillId="19" borderId="190" xfId="0" applyFont="1" applyFill="1" applyBorder="1" applyAlignment="1">
      <alignment horizontal="center"/>
    </xf>
    <xf numFmtId="0" fontId="131" fillId="19" borderId="190" xfId="0" applyFont="1" applyFill="1" applyBorder="1" applyAlignment="1">
      <alignment vertical="center"/>
    </xf>
    <xf numFmtId="0" fontId="131" fillId="19" borderId="190" xfId="0" applyFont="1" applyFill="1" applyBorder="1" applyAlignment="1">
      <alignment horizontal="centerContinuous" vertical="center"/>
    </xf>
    <xf numFmtId="188" fontId="132" fillId="19" borderId="190" xfId="1" applyNumberFormat="1" applyFont="1" applyFill="1" applyBorder="1" applyAlignment="1">
      <alignment horizontal="right" vertical="center"/>
    </xf>
    <xf numFmtId="188" fontId="132" fillId="19" borderId="190" xfId="1" applyNumberFormat="1" applyFont="1" applyFill="1" applyBorder="1" applyAlignment="1">
      <alignment vertical="center"/>
    </xf>
    <xf numFmtId="9" fontId="132" fillId="19" borderId="190" xfId="2" applyFont="1" applyFill="1" applyBorder="1" applyAlignment="1">
      <alignment vertical="center"/>
    </xf>
    <xf numFmtId="188" fontId="131" fillId="19" borderId="190" xfId="1" applyNumberFormat="1" applyFont="1" applyFill="1" applyBorder="1" applyAlignment="1">
      <alignment horizontal="center" vertical="center"/>
    </xf>
    <xf numFmtId="0" fontId="129" fillId="19" borderId="190" xfId="0" applyFont="1" applyFill="1" applyBorder="1" applyAlignment="1">
      <alignment horizontal="center" vertical="center"/>
    </xf>
    <xf numFmtId="0" fontId="131" fillId="19" borderId="190" xfId="0" applyFont="1" applyFill="1" applyBorder="1"/>
    <xf numFmtId="10" fontId="131" fillId="2" borderId="190" xfId="2" applyNumberFormat="1" applyFont="1" applyFill="1" applyBorder="1" applyAlignment="1">
      <alignment vertical="center"/>
    </xf>
    <xf numFmtId="188" fontId="112" fillId="2" borderId="0" xfId="1" applyNumberFormat="1" applyFont="1" applyFill="1" applyAlignment="1">
      <alignment horizontal="right" vertical="center"/>
    </xf>
    <xf numFmtId="41" fontId="109" fillId="2" borderId="0" xfId="1" applyFont="1" applyFill="1" applyAlignment="1">
      <alignment vertical="center"/>
    </xf>
    <xf numFmtId="188" fontId="115" fillId="2" borderId="0" xfId="1" applyNumberFormat="1" applyFont="1" applyFill="1" applyBorder="1" applyAlignment="1">
      <alignment horizontal="right" vertical="center"/>
    </xf>
    <xf numFmtId="188" fontId="109" fillId="2" borderId="0" xfId="0" applyNumberFormat="1" applyFont="1" applyFill="1"/>
    <xf numFmtId="0" fontId="109" fillId="2" borderId="0" xfId="1" applyNumberFormat="1" applyFont="1" applyFill="1" applyAlignment="1">
      <alignment vertical="center"/>
    </xf>
    <xf numFmtId="10" fontId="109" fillId="2" borderId="0" xfId="2" applyNumberFormat="1" applyFont="1" applyFill="1" applyAlignment="1">
      <alignment vertical="center"/>
    </xf>
    <xf numFmtId="43" fontId="109" fillId="2" borderId="0" xfId="1" applyNumberFormat="1" applyFont="1" applyFill="1" applyAlignment="1">
      <alignment vertical="center"/>
    </xf>
    <xf numFmtId="0" fontId="109" fillId="52" borderId="0" xfId="0" applyFont="1" applyFill="1"/>
    <xf numFmtId="0" fontId="114" fillId="53" borderId="199" xfId="0" applyFont="1" applyFill="1" applyBorder="1" applyAlignment="1">
      <alignment vertical="center"/>
    </xf>
    <xf numFmtId="0" fontId="114" fillId="53" borderId="200" xfId="0" applyFont="1" applyFill="1" applyBorder="1" applyAlignment="1">
      <alignment vertical="center"/>
    </xf>
    <xf numFmtId="0" fontId="109" fillId="53" borderId="200" xfId="0" applyFont="1" applyFill="1" applyBorder="1" applyAlignment="1">
      <alignment vertical="center"/>
    </xf>
    <xf numFmtId="0" fontId="109" fillId="53" borderId="200" xfId="0" applyFont="1" applyFill="1" applyBorder="1"/>
    <xf numFmtId="0" fontId="109" fillId="53" borderId="198" xfId="0" applyFont="1" applyFill="1" applyBorder="1"/>
    <xf numFmtId="0" fontId="109" fillId="6" borderId="199" xfId="0" applyFont="1" applyFill="1" applyBorder="1"/>
    <xf numFmtId="0" fontId="109" fillId="2" borderId="200" xfId="0" applyFont="1" applyFill="1" applyBorder="1" applyAlignment="1">
      <alignment horizontal="center" vertical="center"/>
    </xf>
    <xf numFmtId="0" fontId="109" fillId="48" borderId="200" xfId="0" applyFont="1" applyFill="1" applyBorder="1" applyAlignment="1">
      <alignment vertical="center"/>
    </xf>
    <xf numFmtId="0" fontId="109" fillId="34" borderId="200" xfId="0" applyFont="1" applyFill="1" applyBorder="1" applyAlignment="1">
      <alignment vertical="center"/>
    </xf>
    <xf numFmtId="0" fontId="109" fillId="44" borderId="200" xfId="0" applyFont="1" applyFill="1" applyBorder="1" applyAlignment="1">
      <alignment vertical="center"/>
    </xf>
    <xf numFmtId="0" fontId="109" fillId="7" borderId="200" xfId="0" applyFont="1" applyFill="1" applyBorder="1" applyAlignment="1">
      <alignment vertical="center"/>
    </xf>
    <xf numFmtId="0" fontId="109" fillId="55" borderId="200" xfId="0" applyFont="1" applyFill="1" applyBorder="1" applyAlignment="1">
      <alignment vertical="center"/>
    </xf>
    <xf numFmtId="0" fontId="109" fillId="26" borderId="200" xfId="0" applyFont="1" applyFill="1" applyBorder="1" applyAlignment="1">
      <alignment vertical="center"/>
    </xf>
    <xf numFmtId="0" fontId="109" fillId="3" borderId="200" xfId="0" applyFont="1" applyFill="1" applyBorder="1" applyAlignment="1">
      <alignment vertical="center"/>
    </xf>
    <xf numFmtId="0" fontId="109" fillId="54" borderId="200" xfId="0" applyFont="1" applyFill="1" applyBorder="1" applyAlignment="1">
      <alignment vertical="center"/>
    </xf>
    <xf numFmtId="0" fontId="109" fillId="2" borderId="198" xfId="0" applyFont="1" applyFill="1" applyBorder="1" applyAlignment="1">
      <alignment horizontal="center" vertical="center"/>
    </xf>
    <xf numFmtId="0" fontId="109" fillId="2" borderId="0" xfId="0" applyFont="1" applyFill="1" applyBorder="1" applyAlignment="1">
      <alignment horizontal="center" vertical="center"/>
    </xf>
    <xf numFmtId="0" fontId="109" fillId="2" borderId="0" xfId="0" applyFont="1" applyFill="1" applyBorder="1" applyAlignment="1">
      <alignment vertical="center"/>
    </xf>
    <xf numFmtId="0" fontId="119" fillId="2" borderId="0" xfId="0" applyFont="1" applyFill="1" applyBorder="1" applyAlignment="1">
      <alignment vertical="center"/>
    </xf>
    <xf numFmtId="0" fontId="119" fillId="2" borderId="0" xfId="0" applyFont="1" applyFill="1" applyBorder="1" applyAlignment="1">
      <alignment horizontal="center" vertical="center"/>
    </xf>
    <xf numFmtId="218" fontId="134" fillId="2" borderId="0" xfId="2" applyNumberFormat="1" applyFont="1" applyFill="1" applyBorder="1" applyAlignment="1">
      <alignment horizontal="center" vertical="center"/>
    </xf>
    <xf numFmtId="0" fontId="118" fillId="2" borderId="0" xfId="0" applyFont="1" applyFill="1" applyBorder="1" applyAlignment="1">
      <alignment horizontal="center" vertical="center" wrapText="1"/>
    </xf>
    <xf numFmtId="0" fontId="109" fillId="34" borderId="197" xfId="0" applyFont="1" applyFill="1" applyBorder="1" applyAlignment="1">
      <alignment horizontal="centerContinuous" vertical="center"/>
    </xf>
    <xf numFmtId="14" fontId="109" fillId="34" borderId="194" xfId="0" applyNumberFormat="1" applyFont="1" applyFill="1" applyBorder="1" applyAlignment="1">
      <alignment horizontal="centerContinuous" vertical="center"/>
    </xf>
    <xf numFmtId="0" fontId="109" fillId="34" borderId="195" xfId="0" applyFont="1" applyFill="1" applyBorder="1" applyAlignment="1">
      <alignment horizontal="centerContinuous"/>
    </xf>
    <xf numFmtId="0" fontId="109" fillId="34" borderId="195" xfId="0" applyFont="1" applyFill="1" applyBorder="1" applyAlignment="1">
      <alignment horizontal="centerContinuous" vertical="center"/>
    </xf>
    <xf numFmtId="0" fontId="109" fillId="34" borderId="195" xfId="0" applyFont="1" applyFill="1" applyBorder="1" applyAlignment="1">
      <alignment horizontal="center" vertical="center"/>
    </xf>
    <xf numFmtId="14" fontId="109" fillId="34" borderId="195" xfId="0" applyNumberFormat="1" applyFont="1" applyFill="1" applyBorder="1" applyAlignment="1">
      <alignment horizontal="centerContinuous" vertical="center"/>
    </xf>
    <xf numFmtId="14" fontId="109" fillId="34" borderId="195" xfId="0" applyNumberFormat="1" applyFont="1" applyFill="1" applyBorder="1" applyAlignment="1">
      <alignment horizontal="centerContinuous"/>
    </xf>
    <xf numFmtId="0" fontId="109" fillId="34" borderId="196" xfId="0" applyFont="1" applyFill="1" applyBorder="1" applyAlignment="1">
      <alignment horizontal="centerContinuous"/>
    </xf>
    <xf numFmtId="0" fontId="109" fillId="34" borderId="196" xfId="0" applyFont="1" applyFill="1" applyBorder="1" applyAlignment="1">
      <alignment horizontal="centerContinuous" vertical="center"/>
    </xf>
    <xf numFmtId="0" fontId="109" fillId="34" borderId="52" xfId="0" applyFont="1" applyFill="1" applyBorder="1" applyAlignment="1">
      <alignment horizontal="centerContinuous" vertical="center"/>
    </xf>
    <xf numFmtId="14" fontId="109" fillId="34" borderId="196" xfId="0" applyNumberFormat="1" applyFont="1" applyFill="1" applyBorder="1" applyAlignment="1">
      <alignment horizontal="centerContinuous" vertical="center"/>
    </xf>
    <xf numFmtId="0" fontId="109" fillId="44" borderId="197" xfId="0" applyFont="1" applyFill="1" applyBorder="1" applyAlignment="1">
      <alignment horizontal="centerContinuous" vertical="center"/>
    </xf>
    <xf numFmtId="0" fontId="109" fillId="26" borderId="197" xfId="0" applyFont="1" applyFill="1" applyBorder="1" applyAlignment="1">
      <alignment horizontal="centerContinuous" vertical="center"/>
    </xf>
    <xf numFmtId="0" fontId="109" fillId="34" borderId="191" xfId="0" applyFont="1" applyFill="1" applyBorder="1" applyAlignment="1">
      <alignment horizontal="centerContinuous" vertical="center"/>
    </xf>
    <xf numFmtId="0" fontId="109" fillId="44" borderId="52" xfId="0" applyFont="1" applyFill="1" applyBorder="1" applyAlignment="1">
      <alignment horizontal="centerContinuous" vertical="center"/>
    </xf>
    <xf numFmtId="14" fontId="109" fillId="44" borderId="194" xfId="0" applyNumberFormat="1" applyFont="1" applyFill="1" applyBorder="1" applyAlignment="1">
      <alignment horizontal="centerContinuous" vertical="center"/>
    </xf>
    <xf numFmtId="0" fontId="109" fillId="44" borderId="195" xfId="0" applyFont="1" applyFill="1" applyBorder="1" applyAlignment="1">
      <alignment horizontal="centerContinuous" vertical="center"/>
    </xf>
    <xf numFmtId="14" fontId="109" fillId="44" borderId="195" xfId="0" applyNumberFormat="1" applyFont="1" applyFill="1" applyBorder="1" applyAlignment="1">
      <alignment horizontal="centerContinuous" vertical="center"/>
    </xf>
    <xf numFmtId="0" fontId="109" fillId="44" borderId="196" xfId="0" applyFont="1" applyFill="1" applyBorder="1" applyAlignment="1">
      <alignment horizontal="centerContinuous" vertical="center"/>
    </xf>
    <xf numFmtId="14" fontId="109" fillId="26" borderId="194" xfId="0" applyNumberFormat="1" applyFont="1" applyFill="1" applyBorder="1" applyAlignment="1">
      <alignment horizontal="centerContinuous" vertical="center"/>
    </xf>
    <xf numFmtId="0" fontId="109" fillId="26" borderId="195" xfId="0" applyFont="1" applyFill="1" applyBorder="1" applyAlignment="1">
      <alignment horizontal="centerContinuous" vertical="center"/>
    </xf>
    <xf numFmtId="0" fontId="109" fillId="26" borderId="195" xfId="0" applyFont="1" applyFill="1" applyBorder="1" applyAlignment="1">
      <alignment horizontal="center" vertical="center"/>
    </xf>
    <xf numFmtId="14" fontId="109" fillId="26" borderId="195" xfId="0" applyNumberFormat="1" applyFont="1" applyFill="1" applyBorder="1" applyAlignment="1">
      <alignment horizontal="centerContinuous" vertical="center"/>
    </xf>
    <xf numFmtId="0" fontId="109" fillId="26" borderId="196" xfId="0" applyFont="1" applyFill="1" applyBorder="1" applyAlignment="1">
      <alignment horizontal="centerContinuous" vertical="center"/>
    </xf>
    <xf numFmtId="14" fontId="134" fillId="34" borderId="195" xfId="0" applyNumberFormat="1" applyFont="1" applyFill="1" applyBorder="1" applyAlignment="1">
      <alignment horizontal="center" vertical="center"/>
    </xf>
    <xf numFmtId="0" fontId="134" fillId="34" borderId="195" xfId="0" applyFont="1" applyFill="1" applyBorder="1" applyAlignment="1">
      <alignment horizontal="center" vertical="center"/>
    </xf>
    <xf numFmtId="14" fontId="134" fillId="34" borderId="194" xfId="0" applyNumberFormat="1" applyFont="1" applyFill="1" applyBorder="1" applyAlignment="1">
      <alignment horizontal="center" vertical="center"/>
    </xf>
    <xf numFmtId="14" fontId="134" fillId="34" borderId="196" xfId="0" applyNumberFormat="1" applyFont="1" applyFill="1" applyBorder="1" applyAlignment="1">
      <alignment horizontal="center" vertical="center"/>
    </xf>
    <xf numFmtId="14" fontId="134" fillId="44" borderId="195" xfId="0" applyNumberFormat="1" applyFont="1" applyFill="1" applyBorder="1"/>
    <xf numFmtId="0" fontId="134" fillId="44" borderId="195" xfId="0" applyFont="1" applyFill="1" applyBorder="1" applyAlignment="1">
      <alignment horizontal="center" vertical="center"/>
    </xf>
    <xf numFmtId="14" fontId="134" fillId="44" borderId="196" xfId="0" applyNumberFormat="1" applyFont="1" applyFill="1" applyBorder="1"/>
    <xf numFmtId="0" fontId="109" fillId="7" borderId="197" xfId="0" applyFont="1" applyFill="1" applyBorder="1" applyAlignment="1">
      <alignment horizontal="centerContinuous" vertical="center"/>
    </xf>
    <xf numFmtId="0" fontId="109" fillId="48" borderId="197" xfId="0" applyFont="1" applyFill="1" applyBorder="1" applyAlignment="1">
      <alignment horizontal="centerContinuous" vertical="center"/>
    </xf>
    <xf numFmtId="14" fontId="109" fillId="7" borderId="194" xfId="0" applyNumberFormat="1" applyFont="1" applyFill="1" applyBorder="1" applyAlignment="1">
      <alignment horizontal="centerContinuous" vertical="center"/>
    </xf>
    <xf numFmtId="0" fontId="109" fillId="7" borderId="195" xfId="0" applyFont="1" applyFill="1" applyBorder="1" applyAlignment="1">
      <alignment horizontal="centerContinuous" vertical="center"/>
    </xf>
    <xf numFmtId="0" fontId="109" fillId="7" borderId="195" xfId="0" applyFont="1" applyFill="1" applyBorder="1" applyAlignment="1">
      <alignment horizontal="center" vertical="center"/>
    </xf>
    <xf numFmtId="14" fontId="109" fillId="7" borderId="195" xfId="0" applyNumberFormat="1" applyFont="1" applyFill="1" applyBorder="1" applyAlignment="1">
      <alignment horizontal="centerContinuous" vertical="center"/>
    </xf>
    <xf numFmtId="0" fontId="109" fillId="7" borderId="196" xfId="0" applyFont="1" applyFill="1" applyBorder="1" applyAlignment="1">
      <alignment horizontal="centerContinuous" vertical="center"/>
    </xf>
    <xf numFmtId="0" fontId="109" fillId="48" borderId="194" xfId="0" applyFont="1" applyFill="1" applyBorder="1" applyAlignment="1">
      <alignment horizontal="centerContinuous" vertical="center"/>
    </xf>
    <xf numFmtId="0" fontId="109" fillId="15" borderId="197" xfId="0" applyFont="1" applyFill="1" applyBorder="1" applyAlignment="1">
      <alignment horizontal="centerContinuous" vertical="center"/>
    </xf>
    <xf numFmtId="14" fontId="109" fillId="15" borderId="194" xfId="0" applyNumberFormat="1" applyFont="1" applyFill="1" applyBorder="1" applyAlignment="1">
      <alignment horizontal="centerContinuous" vertical="center"/>
    </xf>
    <xf numFmtId="0" fontId="109" fillId="15" borderId="195" xfId="0" applyFont="1" applyFill="1" applyBorder="1" applyAlignment="1">
      <alignment horizontal="centerContinuous" vertical="center"/>
    </xf>
    <xf numFmtId="14" fontId="109" fillId="15" borderId="195" xfId="0" applyNumberFormat="1" applyFont="1" applyFill="1" applyBorder="1" applyAlignment="1">
      <alignment horizontal="centerContinuous" vertical="center"/>
    </xf>
    <xf numFmtId="0" fontId="109" fillId="15" borderId="196" xfId="0" applyFont="1" applyFill="1" applyBorder="1" applyAlignment="1">
      <alignment horizontal="centerContinuous" vertical="center"/>
    </xf>
    <xf numFmtId="0" fontId="109" fillId="15" borderId="51" xfId="0" applyFont="1" applyFill="1" applyBorder="1" applyAlignment="1">
      <alignment horizontal="centerContinuous" vertical="center"/>
    </xf>
    <xf numFmtId="0" fontId="109" fillId="2" borderId="197" xfId="0" applyFont="1" applyFill="1" applyBorder="1" applyAlignment="1">
      <alignment horizontal="centerContinuous" vertical="center"/>
    </xf>
    <xf numFmtId="0" fontId="109" fillId="2" borderId="194" xfId="0" applyFont="1" applyFill="1" applyBorder="1" applyAlignment="1">
      <alignment vertical="center"/>
    </xf>
    <xf numFmtId="0" fontId="109" fillId="2" borderId="195" xfId="0" applyFont="1" applyFill="1" applyBorder="1" applyAlignment="1">
      <alignment horizontal="centerContinuous" vertical="center"/>
    </xf>
    <xf numFmtId="0" fontId="109" fillId="2" borderId="196" xfId="0" applyFont="1" applyFill="1" applyBorder="1" applyAlignment="1">
      <alignment horizontal="centerContinuous" vertical="center"/>
    </xf>
    <xf numFmtId="0" fontId="109" fillId="15" borderId="191" xfId="0" applyFont="1" applyFill="1" applyBorder="1" applyAlignment="1">
      <alignment horizontal="centerContinuous" vertical="center"/>
    </xf>
    <xf numFmtId="0" fontId="109" fillId="15" borderId="52" xfId="0" applyFont="1" applyFill="1" applyBorder="1" applyAlignment="1">
      <alignment horizontal="centerContinuous" vertical="center"/>
    </xf>
    <xf numFmtId="0" fontId="109" fillId="15" borderId="195" xfId="0" applyFont="1" applyFill="1" applyBorder="1" applyAlignment="1">
      <alignment horizontal="center" vertical="center"/>
    </xf>
    <xf numFmtId="14" fontId="109" fillId="15" borderId="196" xfId="0" applyNumberFormat="1" applyFont="1" applyFill="1" applyBorder="1" applyAlignment="1">
      <alignment horizontal="centerContinuous" vertical="center"/>
    </xf>
    <xf numFmtId="14" fontId="109" fillId="2" borderId="194" xfId="0" applyNumberFormat="1" applyFont="1" applyFill="1" applyBorder="1" applyAlignment="1">
      <alignment vertical="center"/>
    </xf>
    <xf numFmtId="0" fontId="109" fillId="2" borderId="196" xfId="0" applyFont="1" applyFill="1" applyBorder="1" applyAlignment="1">
      <alignment vertical="center"/>
    </xf>
    <xf numFmtId="0" fontId="109" fillId="34" borderId="51" xfId="0" applyFont="1" applyFill="1" applyBorder="1" applyAlignment="1">
      <alignment horizontal="centerContinuous" vertical="center"/>
    </xf>
    <xf numFmtId="14" fontId="134" fillId="15" borderId="195" xfId="0" applyNumberFormat="1" applyFont="1" applyFill="1" applyBorder="1" applyAlignment="1">
      <alignment horizontal="center" vertical="center"/>
    </xf>
    <xf numFmtId="14" fontId="134" fillId="44" borderId="194" xfId="0" applyNumberFormat="1" applyFont="1" applyFill="1" applyBorder="1" applyAlignment="1">
      <alignment horizontal="center" vertical="center"/>
    </xf>
    <xf numFmtId="0" fontId="109" fillId="44" borderId="195" xfId="0" applyFont="1" applyFill="1" applyBorder="1" applyAlignment="1">
      <alignment horizontal="center" vertical="center"/>
    </xf>
    <xf numFmtId="14" fontId="134" fillId="44" borderId="196" xfId="0" applyNumberFormat="1" applyFont="1" applyFill="1" applyBorder="1" applyAlignment="1">
      <alignment horizontal="center" vertical="center"/>
    </xf>
    <xf numFmtId="14" fontId="134" fillId="34" borderId="195" xfId="0" applyNumberFormat="1" applyFont="1" applyFill="1" applyBorder="1" applyAlignment="1">
      <alignment horizontal="centerContinuous" vertical="center"/>
    </xf>
    <xf numFmtId="14" fontId="134" fillId="34" borderId="196" xfId="0" applyNumberFormat="1" applyFont="1" applyFill="1" applyBorder="1" applyAlignment="1">
      <alignment horizontal="centerContinuous"/>
    </xf>
    <xf numFmtId="0" fontId="109" fillId="7" borderId="52" xfId="0" applyFont="1" applyFill="1" applyBorder="1" applyAlignment="1">
      <alignment horizontal="centerContinuous" vertical="center"/>
    </xf>
    <xf numFmtId="0" fontId="109" fillId="7" borderId="51" xfId="0" applyFont="1" applyFill="1" applyBorder="1" applyAlignment="1">
      <alignment horizontal="centerContinuous" vertical="center"/>
    </xf>
    <xf numFmtId="14" fontId="109" fillId="44" borderId="196" xfId="0" applyNumberFormat="1" applyFont="1" applyFill="1" applyBorder="1" applyAlignment="1">
      <alignment horizontal="centerContinuous" vertical="center"/>
    </xf>
    <xf numFmtId="14" fontId="109" fillId="44" borderId="196" xfId="0" applyNumberFormat="1" applyFont="1" applyFill="1" applyBorder="1" applyAlignment="1">
      <alignment horizontal="centerContinuous"/>
    </xf>
    <xf numFmtId="14" fontId="109" fillId="7" borderId="195" xfId="0" applyNumberFormat="1" applyFont="1" applyFill="1" applyBorder="1" applyAlignment="1">
      <alignment horizontal="centerContinuous"/>
    </xf>
    <xf numFmtId="0" fontId="109" fillId="7" borderId="195" xfId="0" applyFont="1" applyFill="1" applyBorder="1" applyAlignment="1">
      <alignment horizontal="centerContinuous"/>
    </xf>
    <xf numFmtId="14" fontId="134" fillId="44" borderId="194" xfId="0" applyNumberFormat="1" applyFont="1" applyFill="1" applyBorder="1" applyAlignment="1">
      <alignment horizontal="centerContinuous" vertical="center"/>
    </xf>
    <xf numFmtId="14" fontId="134" fillId="44" borderId="196" xfId="0" applyNumberFormat="1" applyFont="1" applyFill="1" applyBorder="1" applyAlignment="1">
      <alignment horizontal="centerContinuous"/>
    </xf>
    <xf numFmtId="14" fontId="134" fillId="7" borderId="195" xfId="0" applyNumberFormat="1" applyFont="1" applyFill="1" applyBorder="1"/>
    <xf numFmtId="14" fontId="134" fillId="7" borderId="196" xfId="0" applyNumberFormat="1" applyFont="1" applyFill="1" applyBorder="1"/>
    <xf numFmtId="0" fontId="109" fillId="44" borderId="195" xfId="0" applyFont="1" applyFill="1" applyBorder="1" applyAlignment="1">
      <alignment horizontal="centerContinuous"/>
    </xf>
    <xf numFmtId="0" fontId="109" fillId="2" borderId="194" xfId="0" applyFont="1" applyFill="1" applyBorder="1"/>
    <xf numFmtId="0" fontId="109" fillId="2" borderId="196" xfId="0" applyFont="1" applyFill="1" applyBorder="1"/>
    <xf numFmtId="0" fontId="109" fillId="44" borderId="51" xfId="0" applyFont="1" applyFill="1" applyBorder="1" applyAlignment="1">
      <alignment horizontal="centerContinuous" vertical="center"/>
    </xf>
    <xf numFmtId="0" fontId="109" fillId="44" borderId="191" xfId="0" applyFont="1" applyFill="1" applyBorder="1" applyAlignment="1">
      <alignment horizontal="centerContinuous" vertical="center"/>
    </xf>
    <xf numFmtId="0" fontId="109" fillId="15" borderId="195" xfId="0" applyFont="1" applyFill="1" applyBorder="1" applyAlignment="1">
      <alignment horizontal="centerContinuous"/>
    </xf>
    <xf numFmtId="14" fontId="134" fillId="15" borderId="194" xfId="0" applyNumberFormat="1" applyFont="1" applyFill="1" applyBorder="1" applyAlignment="1">
      <alignment horizontal="centerContinuous" vertical="center"/>
    </xf>
    <xf numFmtId="14" fontId="134" fillId="15" borderId="196" xfId="0" applyNumberFormat="1" applyFont="1" applyFill="1" applyBorder="1" applyAlignment="1">
      <alignment horizontal="center" vertical="center"/>
    </xf>
    <xf numFmtId="14" fontId="134" fillId="44" borderId="194" xfId="0" applyNumberFormat="1" applyFont="1" applyFill="1" applyBorder="1"/>
    <xf numFmtId="0" fontId="109" fillId="55" borderId="197" xfId="0" applyFont="1" applyFill="1" applyBorder="1" applyAlignment="1">
      <alignment horizontal="centerContinuous" vertical="center"/>
    </xf>
    <xf numFmtId="0" fontId="109" fillId="2" borderId="52" xfId="0" applyFont="1" applyFill="1" applyBorder="1" applyAlignment="1">
      <alignment horizontal="centerContinuous" vertical="center"/>
    </xf>
    <xf numFmtId="14" fontId="109" fillId="55" borderId="194" xfId="0" applyNumberFormat="1" applyFont="1" applyFill="1" applyBorder="1" applyAlignment="1">
      <alignment horizontal="centerContinuous" vertical="center"/>
    </xf>
    <xf numFmtId="0" fontId="109" fillId="55" borderId="195" xfId="0" applyFont="1" applyFill="1" applyBorder="1" applyAlignment="1">
      <alignment horizontal="centerContinuous" vertical="center"/>
    </xf>
    <xf numFmtId="0" fontId="109" fillId="55" borderId="195" xfId="0" applyFont="1" applyFill="1" applyBorder="1" applyAlignment="1">
      <alignment horizontal="center" vertical="center"/>
    </xf>
    <xf numFmtId="14" fontId="109" fillId="55" borderId="195" xfId="0" applyNumberFormat="1" applyFont="1" applyFill="1" applyBorder="1" applyAlignment="1">
      <alignment horizontal="centerContinuous" vertical="center"/>
    </xf>
    <xf numFmtId="0" fontId="109" fillId="55" borderId="196" xfId="0" applyFont="1" applyFill="1" applyBorder="1" applyAlignment="1">
      <alignment horizontal="centerContinuous" vertical="center"/>
    </xf>
    <xf numFmtId="0" fontId="109" fillId="2" borderId="195" xfId="0" applyFont="1" applyFill="1" applyBorder="1"/>
    <xf numFmtId="0" fontId="134" fillId="2" borderId="197" xfId="0" applyFont="1" applyFill="1" applyBorder="1" applyAlignment="1">
      <alignment horizontal="centerContinuous" vertical="center"/>
    </xf>
    <xf numFmtId="0" fontId="109" fillId="34" borderId="195" xfId="0" applyFont="1" applyFill="1" applyBorder="1"/>
    <xf numFmtId="0" fontId="109" fillId="34" borderId="196" xfId="0" applyFont="1" applyFill="1" applyBorder="1"/>
    <xf numFmtId="0" fontId="109" fillId="2" borderId="106" xfId="0" applyFont="1" applyFill="1" applyBorder="1"/>
    <xf numFmtId="0" fontId="109" fillId="15" borderId="196" xfId="0" applyFont="1" applyFill="1" applyBorder="1" applyAlignment="1">
      <alignment horizontal="centerContinuous"/>
    </xf>
    <xf numFmtId="0" fontId="109" fillId="55" borderId="52" xfId="0" applyFont="1" applyFill="1" applyBorder="1" applyAlignment="1">
      <alignment horizontal="centerContinuous" vertical="center"/>
    </xf>
    <xf numFmtId="0" fontId="109" fillId="55" borderId="51" xfId="0" applyFont="1" applyFill="1" applyBorder="1" applyAlignment="1">
      <alignment horizontal="centerContinuous" vertical="center"/>
    </xf>
    <xf numFmtId="0" fontId="109" fillId="6" borderId="51" xfId="0" applyFont="1" applyFill="1" applyBorder="1" applyAlignment="1">
      <alignment horizontal="centerContinuous" vertical="center"/>
    </xf>
    <xf numFmtId="0" fontId="109" fillId="6" borderId="191" xfId="0" applyFont="1" applyFill="1" applyBorder="1" applyAlignment="1">
      <alignment horizontal="centerContinuous" vertical="center"/>
    </xf>
    <xf numFmtId="0" fontId="109" fillId="6" borderId="52" xfId="0" applyFont="1" applyFill="1" applyBorder="1" applyAlignment="1">
      <alignment horizontal="centerContinuous" vertical="center"/>
    </xf>
    <xf numFmtId="14" fontId="134" fillId="34" borderId="194" xfId="0" applyNumberFormat="1" applyFont="1" applyFill="1" applyBorder="1"/>
    <xf numFmtId="14" fontId="134" fillId="34" borderId="196" xfId="0" applyNumberFormat="1" applyFont="1" applyFill="1" applyBorder="1"/>
    <xf numFmtId="14" fontId="134" fillId="55" borderId="195" xfId="0" applyNumberFormat="1" applyFont="1" applyFill="1" applyBorder="1"/>
    <xf numFmtId="0" fontId="109" fillId="6" borderId="194" xfId="0" applyFont="1" applyFill="1" applyBorder="1"/>
    <xf numFmtId="0" fontId="109" fillId="6" borderId="195" xfId="0" applyFont="1" applyFill="1" applyBorder="1"/>
    <xf numFmtId="0" fontId="109" fillId="6" borderId="196" xfId="0" applyFont="1" applyFill="1" applyBorder="1"/>
    <xf numFmtId="0" fontId="109" fillId="55" borderId="191" xfId="0" applyFont="1" applyFill="1" applyBorder="1" applyAlignment="1">
      <alignment horizontal="centerContinuous" vertical="center"/>
    </xf>
    <xf numFmtId="14" fontId="134" fillId="55" borderId="194" xfId="0" applyNumberFormat="1" applyFont="1" applyFill="1" applyBorder="1"/>
    <xf numFmtId="14" fontId="134" fillId="55" borderId="196" xfId="0" applyNumberFormat="1" applyFont="1" applyFill="1" applyBorder="1"/>
    <xf numFmtId="14" fontId="134" fillId="15" borderId="195" xfId="0" applyNumberFormat="1" applyFont="1" applyFill="1" applyBorder="1"/>
    <xf numFmtId="14" fontId="134" fillId="15" borderId="195" xfId="0" applyNumberFormat="1" applyFont="1" applyFill="1" applyBorder="1" applyAlignment="1">
      <alignment horizontal="centerContinuous" vertical="center"/>
    </xf>
    <xf numFmtId="14" fontId="134" fillId="55" borderId="195" xfId="0" applyNumberFormat="1" applyFont="1" applyFill="1" applyBorder="1" applyAlignment="1">
      <alignment horizontal="center" vertical="center"/>
    </xf>
    <xf numFmtId="14" fontId="134" fillId="55" borderId="196" xfId="0" applyNumberFormat="1" applyFont="1" applyFill="1" applyBorder="1" applyAlignment="1">
      <alignment horizontal="center" vertical="center"/>
    </xf>
    <xf numFmtId="0" fontId="109" fillId="48" borderId="51" xfId="0" applyFont="1" applyFill="1" applyBorder="1" applyAlignment="1">
      <alignment horizontal="centerContinuous" vertical="center"/>
    </xf>
    <xf numFmtId="0" fontId="109" fillId="48" borderId="52" xfId="0" applyFont="1" applyFill="1" applyBorder="1" applyAlignment="1">
      <alignment horizontal="centerContinuous" vertical="center"/>
    </xf>
    <xf numFmtId="0" fontId="109" fillId="55" borderId="195" xfId="0" applyFont="1" applyFill="1" applyBorder="1" applyAlignment="1">
      <alignment horizontal="centerContinuous"/>
    </xf>
    <xf numFmtId="0" fontId="109" fillId="48" borderId="195" xfId="0" applyFont="1" applyFill="1" applyBorder="1" applyAlignment="1">
      <alignment horizontal="centerContinuous" vertical="center"/>
    </xf>
    <xf numFmtId="0" fontId="109" fillId="48" borderId="195" xfId="0" applyFont="1" applyFill="1" applyBorder="1" applyAlignment="1">
      <alignment horizontal="center"/>
    </xf>
    <xf numFmtId="0" fontId="109" fillId="48" borderId="196" xfId="0" applyFont="1" applyFill="1" applyBorder="1" applyAlignment="1">
      <alignment horizontal="centerContinuous" vertical="center"/>
    </xf>
    <xf numFmtId="0" fontId="109" fillId="2" borderId="51" xfId="0" applyFont="1" applyFill="1" applyBorder="1" applyAlignment="1">
      <alignment horizontal="centerContinuous" vertical="center"/>
    </xf>
    <xf numFmtId="0" fontId="109" fillId="2" borderId="191" xfId="0" applyFont="1" applyFill="1" applyBorder="1" applyAlignment="1">
      <alignment horizontal="centerContinuous" vertical="center"/>
    </xf>
    <xf numFmtId="0" fontId="134" fillId="2" borderId="52" xfId="0" applyFont="1" applyFill="1" applyBorder="1" applyAlignment="1">
      <alignment horizontal="centerContinuous" vertical="center"/>
    </xf>
    <xf numFmtId="0" fontId="131" fillId="6" borderId="192" xfId="0" applyFont="1" applyFill="1" applyBorder="1" applyAlignment="1">
      <alignment horizontal="centerContinuous" vertical="center"/>
    </xf>
    <xf numFmtId="0" fontId="131" fillId="6" borderId="0" xfId="0" applyFont="1" applyFill="1" applyBorder="1" applyAlignment="1">
      <alignment horizontal="centerContinuous" vertical="center"/>
    </xf>
    <xf numFmtId="0" fontId="131" fillId="6" borderId="193" xfId="0" applyFont="1" applyFill="1" applyBorder="1" applyAlignment="1">
      <alignment horizontal="centerContinuous" vertical="center"/>
    </xf>
    <xf numFmtId="41" fontId="44" fillId="18" borderId="205" xfId="1" applyNumberFormat="1" applyFont="1" applyFill="1" applyBorder="1">
      <alignment vertical="center"/>
    </xf>
    <xf numFmtId="41" fontId="44" fillId="18" borderId="205" xfId="1" applyFont="1" applyFill="1" applyBorder="1">
      <alignment vertical="center"/>
    </xf>
    <xf numFmtId="3" fontId="18" fillId="19" borderId="201" xfId="1" applyNumberFormat="1" applyFont="1" applyFill="1" applyBorder="1">
      <alignment vertical="center"/>
    </xf>
    <xf numFmtId="41" fontId="65" fillId="0" borderId="0" xfId="1" applyFont="1">
      <alignment vertical="center"/>
    </xf>
    <xf numFmtId="3" fontId="13" fillId="0" borderId="0" xfId="0" applyNumberFormat="1" applyFont="1" applyAlignment="1">
      <alignment vertical="center"/>
    </xf>
    <xf numFmtId="3" fontId="53" fillId="0" borderId="201" xfId="1" applyNumberFormat="1" applyFont="1" applyBorder="1">
      <alignment vertical="center"/>
    </xf>
    <xf numFmtId="0" fontId="137" fillId="35" borderId="0" xfId="0" applyFont="1" applyFill="1" applyAlignment="1">
      <alignment vertical="center"/>
    </xf>
    <xf numFmtId="0" fontId="58" fillId="17" borderId="256" xfId="0" quotePrefix="1" applyNumberFormat="1" applyFont="1" applyFill="1" applyBorder="1" applyAlignment="1">
      <alignment horizontal="center" vertical="center"/>
    </xf>
    <xf numFmtId="0" fontId="58" fillId="17" borderId="257" xfId="0" quotePrefix="1" applyNumberFormat="1" applyFont="1" applyFill="1" applyBorder="1" applyAlignment="1">
      <alignment horizontal="center" vertical="center"/>
    </xf>
    <xf numFmtId="3" fontId="63" fillId="18" borderId="255" xfId="1" applyNumberFormat="1" applyFont="1" applyFill="1" applyBorder="1">
      <alignment vertical="center"/>
    </xf>
    <xf numFmtId="3" fontId="63" fillId="18" borderId="258" xfId="1" applyNumberFormat="1" applyFont="1" applyFill="1" applyBorder="1">
      <alignment vertical="center"/>
    </xf>
    <xf numFmtId="3" fontId="18" fillId="0" borderId="183" xfId="1" applyNumberFormat="1" applyFont="1" applyBorder="1">
      <alignment vertical="center"/>
    </xf>
    <xf numFmtId="3" fontId="18" fillId="0" borderId="88" xfId="1" applyNumberFormat="1" applyFont="1" applyBorder="1">
      <alignment vertical="center"/>
    </xf>
    <xf numFmtId="3" fontId="18" fillId="19" borderId="131" xfId="1" applyNumberFormat="1" applyFont="1" applyFill="1" applyBorder="1">
      <alignment vertical="center"/>
    </xf>
    <xf numFmtId="3" fontId="18" fillId="19" borderId="255" xfId="1" applyNumberFormat="1" applyFont="1" applyFill="1" applyBorder="1">
      <alignment vertical="center"/>
    </xf>
    <xf numFmtId="3" fontId="18" fillId="19" borderId="258" xfId="1" applyNumberFormat="1" applyFont="1" applyFill="1" applyBorder="1">
      <alignment vertical="center"/>
    </xf>
    <xf numFmtId="3" fontId="53" fillId="0" borderId="183" xfId="1" applyNumberFormat="1" applyFont="1" applyBorder="1">
      <alignment vertical="center"/>
    </xf>
    <xf numFmtId="3" fontId="53" fillId="0" borderId="131" xfId="1" applyNumberFormat="1" applyFont="1" applyBorder="1">
      <alignment vertical="center"/>
    </xf>
    <xf numFmtId="191" fontId="41" fillId="35" borderId="0" xfId="37" applyFont="1" applyFill="1" applyAlignment="1">
      <alignment vertical="center"/>
    </xf>
    <xf numFmtId="0" fontId="41" fillId="35" borderId="0" xfId="0" applyFont="1" applyFill="1" applyAlignment="1">
      <alignment vertical="center"/>
    </xf>
    <xf numFmtId="0" fontId="41" fillId="35" borderId="0" xfId="0" applyFont="1" applyFill="1" applyAlignment="1">
      <alignment vertical="center" wrapText="1"/>
    </xf>
    <xf numFmtId="14" fontId="41" fillId="35" borderId="0" xfId="0" applyNumberFormat="1" applyFont="1" applyFill="1" applyAlignment="1">
      <alignment vertical="center"/>
    </xf>
    <xf numFmtId="177" fontId="41" fillId="35" borderId="0" xfId="2" applyNumberFormat="1" applyFont="1" applyFill="1" applyAlignment="1">
      <alignment vertical="center"/>
    </xf>
    <xf numFmtId="0" fontId="138" fillId="35" borderId="0" xfId="0" applyFont="1" applyFill="1" applyAlignment="1">
      <alignment vertical="center"/>
    </xf>
    <xf numFmtId="0" fontId="139" fillId="35" borderId="0" xfId="0" applyFont="1" applyFill="1" applyAlignment="1">
      <alignment vertical="center"/>
    </xf>
    <xf numFmtId="0" fontId="106" fillId="0" borderId="0" xfId="0" applyFont="1" applyAlignment="1">
      <alignment vertical="center"/>
    </xf>
    <xf numFmtId="0" fontId="140" fillId="0" borderId="0" xfId="3" applyFont="1" applyFill="1" applyBorder="1" applyAlignment="1" applyProtection="1">
      <alignment horizontal="centerContinuous" vertical="center"/>
      <protection locked="0"/>
    </xf>
    <xf numFmtId="49" fontId="141" fillId="0" borderId="0" xfId="3" applyNumberFormat="1" applyFont="1" applyAlignment="1" applyProtection="1">
      <alignment horizontal="left" vertical="center"/>
      <protection locked="0"/>
    </xf>
    <xf numFmtId="0" fontId="141" fillId="0" borderId="0" xfId="3" applyFont="1">
      <alignment vertical="center"/>
    </xf>
    <xf numFmtId="0" fontId="141" fillId="0" borderId="0" xfId="3" applyFont="1" applyAlignment="1" applyProtection="1">
      <alignment vertical="center"/>
      <protection locked="0"/>
    </xf>
    <xf numFmtId="49" fontId="141" fillId="0" borderId="0" xfId="3" applyNumberFormat="1" applyFont="1" applyBorder="1" applyAlignment="1" applyProtection="1">
      <alignment horizontal="center" vertical="center"/>
      <protection locked="0"/>
    </xf>
    <xf numFmtId="49" fontId="141" fillId="0" borderId="0" xfId="3" applyNumberFormat="1" applyFont="1" applyFill="1" applyAlignment="1" applyProtection="1">
      <alignment horizontal="left" vertical="center"/>
      <protection locked="0"/>
    </xf>
    <xf numFmtId="0" fontId="142" fillId="51" borderId="0" xfId="3" applyFont="1" applyFill="1">
      <alignment vertical="center"/>
    </xf>
    <xf numFmtId="0" fontId="141" fillId="51" borderId="0" xfId="3" applyFont="1" applyFill="1" applyAlignment="1" applyProtection="1">
      <alignment vertical="center"/>
      <protection locked="0"/>
    </xf>
    <xf numFmtId="0" fontId="106" fillId="51" borderId="0" xfId="0" applyFont="1" applyFill="1" applyAlignment="1">
      <alignment vertical="center"/>
    </xf>
    <xf numFmtId="49" fontId="141" fillId="51" borderId="0" xfId="3" applyNumberFormat="1" applyFont="1" applyFill="1" applyBorder="1" applyAlignment="1" applyProtection="1">
      <alignment horizontal="center" vertical="center"/>
      <protection locked="0"/>
    </xf>
    <xf numFmtId="0" fontId="142" fillId="2" borderId="0" xfId="3" applyFont="1" applyFill="1">
      <alignment vertical="center"/>
    </xf>
    <xf numFmtId="0" fontId="142" fillId="0" borderId="0" xfId="3" applyFont="1">
      <alignment vertical="center"/>
    </xf>
    <xf numFmtId="0" fontId="141" fillId="0" borderId="0" xfId="3" applyFont="1" applyBorder="1" applyAlignment="1">
      <alignment vertical="center"/>
    </xf>
    <xf numFmtId="49" fontId="141" fillId="0" borderId="0" xfId="3" applyNumberFormat="1" applyFont="1" applyAlignment="1" applyProtection="1">
      <alignment horizontal="center" vertical="center"/>
      <protection locked="0"/>
    </xf>
    <xf numFmtId="0" fontId="141" fillId="51" borderId="0" xfId="3" applyFont="1" applyFill="1">
      <alignment vertical="center"/>
    </xf>
    <xf numFmtId="0" fontId="141" fillId="2" borderId="0" xfId="3" applyFont="1" applyFill="1">
      <alignment vertical="center"/>
    </xf>
    <xf numFmtId="0" fontId="141" fillId="0" borderId="0" xfId="3" applyFont="1" applyFill="1">
      <alignment vertical="center"/>
    </xf>
    <xf numFmtId="0" fontId="0" fillId="52" borderId="0" xfId="0" applyFill="1" applyAlignment="1">
      <alignment vertical="center"/>
    </xf>
    <xf numFmtId="0" fontId="143" fillId="52" borderId="0" xfId="0" applyFont="1" applyFill="1" applyAlignment="1">
      <alignment horizontal="centerContinuous" vertical="center"/>
    </xf>
    <xf numFmtId="0" fontId="144" fillId="52" borderId="0" xfId="0" applyFont="1" applyFill="1" applyAlignment="1">
      <alignment horizontal="centerContinuous" vertical="center"/>
    </xf>
    <xf numFmtId="0" fontId="134" fillId="2" borderId="0" xfId="0" applyFont="1" applyFill="1" applyBorder="1" applyAlignment="1">
      <alignment vertical="center"/>
    </xf>
    <xf numFmtId="0" fontId="134" fillId="2" borderId="88" xfId="0" applyFont="1" applyFill="1" applyBorder="1" applyAlignment="1">
      <alignment vertical="center"/>
    </xf>
    <xf numFmtId="0" fontId="106" fillId="37" borderId="128" xfId="55" applyFont="1" applyFill="1" applyBorder="1" applyAlignment="1">
      <alignment horizontal="center" vertical="center"/>
    </xf>
    <xf numFmtId="0" fontId="109" fillId="2" borderId="190" xfId="0" applyFont="1" applyFill="1" applyBorder="1" applyAlignment="1">
      <alignment horizontal="center" vertical="center"/>
    </xf>
    <xf numFmtId="0" fontId="109" fillId="2" borderId="197" xfId="0" applyFont="1" applyFill="1" applyBorder="1" applyAlignment="1">
      <alignment horizontal="center" vertical="center"/>
    </xf>
    <xf numFmtId="0" fontId="121" fillId="51" borderId="190" xfId="0" applyFont="1" applyFill="1" applyBorder="1" applyAlignment="1">
      <alignment horizontal="center" vertical="center"/>
    </xf>
    <xf numFmtId="0" fontId="121" fillId="51" borderId="190" xfId="0" applyFont="1" applyFill="1" applyBorder="1" applyAlignment="1">
      <alignment horizontal="center" vertical="center" wrapText="1"/>
    </xf>
    <xf numFmtId="0" fontId="56" fillId="0" borderId="0" xfId="0" applyFont="1" applyAlignment="1">
      <alignment horizontal="center" vertical="center"/>
    </xf>
    <xf numFmtId="49" fontId="32" fillId="0" borderId="0" xfId="0" applyNumberFormat="1" applyFont="1" applyAlignment="1">
      <alignment horizontal="center" vertical="center"/>
    </xf>
    <xf numFmtId="0" fontId="145" fillId="0" borderId="0" xfId="3" applyFont="1" applyBorder="1" applyAlignment="1">
      <alignment vertical="center"/>
    </xf>
    <xf numFmtId="0" fontId="145" fillId="2" borderId="0" xfId="3" applyFont="1" applyFill="1">
      <alignment vertical="center"/>
    </xf>
    <xf numFmtId="0" fontId="109" fillId="0" borderId="0" xfId="0" applyFont="1" applyAlignment="1">
      <alignment vertical="center"/>
    </xf>
    <xf numFmtId="0" fontId="148" fillId="2" borderId="0" xfId="0" applyFont="1" applyFill="1" applyAlignment="1">
      <alignment vertical="center"/>
    </xf>
    <xf numFmtId="0" fontId="106" fillId="2" borderId="0" xfId="0" applyFont="1" applyFill="1" applyAlignment="1">
      <alignment vertical="center"/>
    </xf>
    <xf numFmtId="0" fontId="148" fillId="2" borderId="1" xfId="0" applyFont="1" applyFill="1" applyBorder="1" applyAlignment="1">
      <alignment horizontal="centerContinuous" vertical="center"/>
    </xf>
    <xf numFmtId="0" fontId="148" fillId="2" borderId="2" xfId="0" applyFont="1" applyFill="1" applyBorder="1" applyAlignment="1">
      <alignment horizontal="centerContinuous" vertical="center"/>
    </xf>
    <xf numFmtId="41" fontId="42" fillId="0" borderId="256" xfId="1" applyNumberFormat="1" applyFont="1" applyBorder="1">
      <alignment vertical="center"/>
    </xf>
    <xf numFmtId="0" fontId="2" fillId="0" borderId="0" xfId="55" applyFont="1" applyBorder="1">
      <alignment vertical="center"/>
    </xf>
    <xf numFmtId="0" fontId="2" fillId="0" borderId="0" xfId="55" applyFont="1" applyFill="1" applyBorder="1">
      <alignment vertical="center"/>
    </xf>
    <xf numFmtId="0" fontId="106" fillId="37" borderId="255" xfId="55" applyFont="1" applyFill="1" applyBorder="1" applyAlignment="1">
      <alignment horizontal="center" vertical="center"/>
    </xf>
    <xf numFmtId="0" fontId="106" fillId="0" borderId="255" xfId="55" applyFont="1" applyBorder="1" applyAlignment="1">
      <alignment horizontal="center" vertical="center"/>
    </xf>
    <xf numFmtId="0" fontId="2" fillId="0" borderId="0" xfId="55" applyFont="1">
      <alignment vertical="center"/>
    </xf>
    <xf numFmtId="0" fontId="106" fillId="0" borderId="111" xfId="55" applyFont="1" applyBorder="1" applyAlignment="1">
      <alignment horizontal="center" vertical="center"/>
    </xf>
    <xf numFmtId="0" fontId="106" fillId="0" borderId="111" xfId="55" applyFont="1" applyBorder="1">
      <alignment vertical="center"/>
    </xf>
    <xf numFmtId="0" fontId="149" fillId="0" borderId="0" xfId="3" applyFont="1" applyBorder="1" applyAlignment="1">
      <alignment vertical="center"/>
    </xf>
    <xf numFmtId="0" fontId="109" fillId="35" borderId="0" xfId="0" applyFont="1" applyFill="1" applyAlignment="1">
      <alignment vertical="center"/>
    </xf>
    <xf numFmtId="0" fontId="146" fillId="35" borderId="0" xfId="3" applyFont="1" applyFill="1" applyBorder="1" applyAlignment="1">
      <alignment vertical="center"/>
    </xf>
    <xf numFmtId="0" fontId="134" fillId="0" borderId="0" xfId="0" applyFont="1" applyAlignment="1">
      <alignment vertical="center"/>
    </xf>
    <xf numFmtId="0" fontId="145" fillId="0" borderId="0" xfId="3" applyFont="1" applyBorder="1" applyAlignment="1">
      <alignment horizontal="left" vertical="center"/>
    </xf>
    <xf numFmtId="0" fontId="116" fillId="0" borderId="0" xfId="4" applyFont="1">
      <alignment vertical="center"/>
    </xf>
    <xf numFmtId="0" fontId="145" fillId="0" borderId="0" xfId="3" applyFont="1" applyAlignment="1">
      <alignment vertical="center"/>
    </xf>
    <xf numFmtId="0" fontId="145" fillId="0" borderId="0" xfId="3" applyFont="1" applyAlignment="1">
      <alignment horizontal="right" vertical="center"/>
    </xf>
    <xf numFmtId="0" fontId="145" fillId="0" borderId="0" xfId="3" applyFont="1" applyAlignment="1">
      <alignment horizontal="center"/>
    </xf>
    <xf numFmtId="0" fontId="151" fillId="0" borderId="0" xfId="4" applyFont="1">
      <alignment vertical="center"/>
    </xf>
    <xf numFmtId="0" fontId="152" fillId="0" borderId="0" xfId="3" applyFont="1" applyBorder="1" applyAlignment="1">
      <alignment horizontal="right" vertical="center"/>
    </xf>
    <xf numFmtId="41" fontId="134" fillId="0" borderId="0" xfId="1" applyFont="1">
      <alignment vertical="center"/>
    </xf>
    <xf numFmtId="0" fontId="109" fillId="0" borderId="0" xfId="0" applyFont="1" applyFill="1" applyAlignment="1">
      <alignment vertical="center"/>
    </xf>
    <xf numFmtId="0" fontId="128" fillId="0" borderId="0" xfId="0" applyFont="1" applyFill="1" applyAlignment="1">
      <alignment vertical="center"/>
    </xf>
    <xf numFmtId="0" fontId="150" fillId="0" borderId="0" xfId="3" applyFont="1" applyFill="1" applyBorder="1" applyAlignment="1">
      <alignment horizontal="center" vertical="center" shrinkToFit="1"/>
    </xf>
    <xf numFmtId="9" fontId="150" fillId="0" borderId="0" xfId="3" applyNumberFormat="1" applyFont="1" applyFill="1" applyBorder="1" applyAlignment="1">
      <alignment horizontal="center" vertical="center" shrinkToFit="1"/>
    </xf>
    <xf numFmtId="0" fontId="150" fillId="0" borderId="0" xfId="3" applyFont="1" applyFill="1" applyBorder="1" applyAlignment="1">
      <alignment horizontal="right" vertical="center" shrinkToFit="1"/>
    </xf>
    <xf numFmtId="0" fontId="150" fillId="0" borderId="0" xfId="3" applyFont="1" applyFill="1" applyBorder="1" applyAlignment="1">
      <alignment vertical="center" shrinkToFit="1"/>
    </xf>
    <xf numFmtId="0" fontId="134" fillId="0" borderId="0" xfId="0" applyFont="1" applyFill="1" applyBorder="1" applyAlignment="1">
      <alignment vertical="center"/>
    </xf>
    <xf numFmtId="41" fontId="109" fillId="0" borderId="0" xfId="1" applyFont="1" applyAlignment="1">
      <alignment horizontal="center" vertical="center"/>
    </xf>
    <xf numFmtId="0" fontId="146" fillId="0" borderId="0" xfId="3" applyFont="1" applyBorder="1" applyAlignment="1">
      <alignment horizontal="left" vertical="center"/>
    </xf>
    <xf numFmtId="0" fontId="134" fillId="0" borderId="0" xfId="0" quotePrefix="1" applyFont="1" applyAlignment="1">
      <alignment horizontal="right" vertical="center"/>
    </xf>
    <xf numFmtId="41" fontId="114" fillId="0" borderId="0" xfId="1" applyFont="1" applyAlignment="1">
      <alignment horizontal="center" vertical="center"/>
    </xf>
    <xf numFmtId="3" fontId="153" fillId="0" borderId="88" xfId="1" applyNumberFormat="1" applyFont="1" applyBorder="1">
      <alignment vertical="center"/>
    </xf>
    <xf numFmtId="3" fontId="134" fillId="0" borderId="0" xfId="0" applyNumberFormat="1" applyFont="1" applyAlignment="1">
      <alignment vertical="center"/>
    </xf>
    <xf numFmtId="41" fontId="134" fillId="0" borderId="0" xfId="0" applyNumberFormat="1" applyFont="1" applyAlignment="1">
      <alignment vertical="center"/>
    </xf>
    <xf numFmtId="43" fontId="134" fillId="0" borderId="0" xfId="0" applyNumberFormat="1" applyFont="1" applyAlignment="1">
      <alignment vertical="center"/>
    </xf>
    <xf numFmtId="41" fontId="134" fillId="0" borderId="0" xfId="1" applyFont="1" applyAlignment="1">
      <alignment vertical="center"/>
    </xf>
    <xf numFmtId="176" fontId="145" fillId="0" borderId="0" xfId="3" applyNumberFormat="1" applyFont="1" applyAlignment="1">
      <alignment vertical="center"/>
    </xf>
    <xf numFmtId="0" fontId="150" fillId="0" borderId="0" xfId="3" applyFont="1" applyBorder="1" applyAlignment="1">
      <alignment horizontal="right" vertical="center"/>
    </xf>
    <xf numFmtId="0" fontId="109" fillId="0" borderId="0" xfId="0" applyFont="1" applyFill="1" applyBorder="1" applyAlignment="1">
      <alignment vertical="center"/>
    </xf>
    <xf numFmtId="0" fontId="156" fillId="35" borderId="0" xfId="3" applyFont="1" applyFill="1" applyBorder="1" applyAlignment="1">
      <alignment vertical="center"/>
    </xf>
    <xf numFmtId="0" fontId="157" fillId="35" borderId="0" xfId="0" applyFont="1" applyFill="1" applyAlignment="1">
      <alignment vertical="center"/>
    </xf>
    <xf numFmtId="41" fontId="109" fillId="0" borderId="0" xfId="0" applyNumberFormat="1" applyFont="1" applyAlignment="1">
      <alignment vertical="center"/>
    </xf>
    <xf numFmtId="0" fontId="119" fillId="0" borderId="0" xfId="0" applyFont="1" applyAlignment="1">
      <alignment vertical="center"/>
    </xf>
    <xf numFmtId="0" fontId="109" fillId="0" borderId="0" xfId="4" applyFont="1">
      <alignment vertical="center"/>
    </xf>
    <xf numFmtId="0" fontId="109" fillId="35" borderId="0" xfId="4" applyFont="1" applyFill="1">
      <alignment vertical="center"/>
    </xf>
    <xf numFmtId="0" fontId="153" fillId="35" borderId="0" xfId="4" applyFont="1" applyFill="1">
      <alignment vertical="center"/>
    </xf>
    <xf numFmtId="0" fontId="154" fillId="35" borderId="0" xfId="4" applyFont="1" applyFill="1" applyAlignment="1">
      <alignment horizontal="right"/>
    </xf>
    <xf numFmtId="0" fontId="116" fillId="0" borderId="0" xfId="4" applyFont="1" applyBorder="1" applyAlignment="1">
      <alignment horizontal="left" vertical="center" wrapText="1"/>
    </xf>
    <xf numFmtId="0" fontId="153" fillId="0" borderId="0" xfId="4" applyFont="1">
      <alignment vertical="center"/>
    </xf>
    <xf numFmtId="0" fontId="154" fillId="0" borderId="0" xfId="4" applyFont="1" applyAlignment="1">
      <alignment horizontal="right"/>
    </xf>
    <xf numFmtId="0" fontId="159" fillId="51" borderId="190" xfId="4" applyFont="1" applyFill="1" applyBorder="1" applyAlignment="1">
      <alignment horizontal="center" vertical="center"/>
    </xf>
    <xf numFmtId="188" fontId="154" fillId="4" borderId="190" xfId="25" applyNumberFormat="1" applyFont="1" applyFill="1" applyBorder="1" applyAlignment="1">
      <alignment vertical="center" wrapText="1"/>
    </xf>
    <xf numFmtId="41" fontId="154" fillId="4" borderId="190" xfId="25" applyFont="1" applyFill="1" applyBorder="1" applyAlignment="1">
      <alignment vertical="center"/>
    </xf>
    <xf numFmtId="0" fontId="162" fillId="5" borderId="190" xfId="4" applyFont="1" applyFill="1" applyBorder="1" applyAlignment="1">
      <alignment horizontal="center" vertical="center" wrapText="1"/>
    </xf>
    <xf numFmtId="0" fontId="155" fillId="56" borderId="190" xfId="4" applyFont="1" applyFill="1" applyBorder="1" applyAlignment="1">
      <alignment horizontal="center" vertical="center" wrapText="1"/>
    </xf>
    <xf numFmtId="188" fontId="155" fillId="56" borderId="190" xfId="1" applyNumberFormat="1" applyFont="1" applyFill="1" applyBorder="1" applyAlignment="1">
      <alignment horizontal="center" vertical="center" wrapText="1"/>
    </xf>
    <xf numFmtId="41" fontId="155" fillId="56" borderId="190" xfId="1" applyNumberFormat="1" applyFont="1" applyFill="1" applyBorder="1" applyAlignment="1">
      <alignment horizontal="center" vertical="center" wrapText="1"/>
    </xf>
    <xf numFmtId="0" fontId="155" fillId="56" borderId="190" xfId="4" applyFont="1" applyFill="1" applyBorder="1" applyAlignment="1">
      <alignment horizontal="center" vertical="center"/>
    </xf>
    <xf numFmtId="0" fontId="114" fillId="0" borderId="0" xfId="4" quotePrefix="1" applyFont="1">
      <alignment vertical="center"/>
    </xf>
    <xf numFmtId="41" fontId="109" fillId="0" borderId="0" xfId="1" applyFont="1">
      <alignment vertical="center"/>
    </xf>
    <xf numFmtId="14" fontId="163" fillId="0" borderId="190" xfId="21" applyNumberFormat="1" applyFont="1" applyFill="1" applyBorder="1" applyAlignment="1">
      <alignment horizontal="center" vertical="center" wrapText="1"/>
    </xf>
    <xf numFmtId="17" fontId="163" fillId="0" borderId="190" xfId="21" quotePrefix="1" applyNumberFormat="1" applyFont="1" applyFill="1" applyBorder="1" applyAlignment="1">
      <alignment horizontal="center" vertical="center" wrapText="1"/>
    </xf>
    <xf numFmtId="188" fontId="163" fillId="0" borderId="190" xfId="8" applyNumberFormat="1" applyFont="1" applyFill="1" applyBorder="1" applyAlignment="1">
      <alignment horizontal="center" vertical="center" wrapText="1"/>
    </xf>
    <xf numFmtId="41" fontId="163" fillId="0" borderId="190" xfId="8" applyFont="1" applyFill="1" applyBorder="1" applyAlignment="1">
      <alignment horizontal="center" vertical="center"/>
    </xf>
    <xf numFmtId="14" fontId="163" fillId="0" borderId="190" xfId="8" applyNumberFormat="1" applyFont="1" applyFill="1" applyBorder="1" applyAlignment="1">
      <alignment horizontal="center" vertical="center"/>
    </xf>
    <xf numFmtId="0" fontId="153" fillId="0" borderId="0" xfId="4" applyFont="1" applyAlignment="1">
      <alignment vertical="center" wrapText="1"/>
    </xf>
    <xf numFmtId="9" fontId="109" fillId="0" borderId="0" xfId="2" applyFont="1" applyBorder="1">
      <alignment vertical="center"/>
    </xf>
    <xf numFmtId="41" fontId="109" fillId="0" borderId="0" xfId="1" applyFont="1" applyBorder="1">
      <alignment vertical="center"/>
    </xf>
    <xf numFmtId="0" fontId="109" fillId="0" borderId="0" xfId="4" applyFont="1" applyBorder="1">
      <alignment vertical="center"/>
    </xf>
    <xf numFmtId="0" fontId="159" fillId="51" borderId="190" xfId="21" applyFont="1" applyFill="1" applyBorder="1" applyAlignment="1">
      <alignment horizontal="center" vertical="center" wrapText="1"/>
    </xf>
    <xf numFmtId="0" fontId="159" fillId="51" borderId="190" xfId="4" applyFont="1" applyFill="1" applyBorder="1" applyAlignment="1">
      <alignment horizontal="center" vertical="center" wrapText="1"/>
    </xf>
    <xf numFmtId="0" fontId="161" fillId="4" borderId="190" xfId="21" applyFont="1" applyFill="1" applyBorder="1" applyAlignment="1">
      <alignment horizontal="center" vertical="center" wrapText="1"/>
    </xf>
    <xf numFmtId="41" fontId="163" fillId="4" borderId="190" xfId="8" applyFont="1" applyFill="1" applyBorder="1" applyAlignment="1">
      <alignment horizontal="center" vertical="center" wrapText="1"/>
    </xf>
    <xf numFmtId="41" fontId="163" fillId="0" borderId="190" xfId="8" applyFont="1" applyBorder="1" applyAlignment="1">
      <alignment vertical="center"/>
    </xf>
    <xf numFmtId="41" fontId="163" fillId="4" borderId="190" xfId="21" applyNumberFormat="1" applyFont="1" applyFill="1" applyBorder="1" applyAlignment="1">
      <alignment vertical="center" wrapText="1"/>
    </xf>
    <xf numFmtId="177" fontId="154" fillId="4" borderId="190" xfId="21" applyNumberFormat="1" applyFont="1" applyFill="1" applyBorder="1" applyAlignment="1">
      <alignment horizontal="right" vertical="center" wrapText="1"/>
    </xf>
    <xf numFmtId="183" fontId="164" fillId="4" borderId="0" xfId="21" applyNumberFormat="1" applyFont="1" applyFill="1" applyBorder="1" applyAlignment="1">
      <alignment vertical="center" wrapText="1"/>
    </xf>
    <xf numFmtId="41" fontId="134" fillId="0" borderId="0" xfId="1" applyFont="1" applyBorder="1">
      <alignment vertical="center"/>
    </xf>
    <xf numFmtId="0" fontId="153" fillId="0" borderId="0" xfId="4" applyFont="1" applyBorder="1" applyAlignment="1">
      <alignment vertical="center" wrapText="1"/>
    </xf>
    <xf numFmtId="41" fontId="163" fillId="0" borderId="190" xfId="22" applyFont="1" applyFill="1" applyBorder="1" applyAlignment="1" applyProtection="1">
      <alignment horizontal="center" vertical="center"/>
    </xf>
    <xf numFmtId="41" fontId="164" fillId="0" borderId="190" xfId="8" applyFont="1" applyFill="1" applyBorder="1" applyAlignment="1" applyProtection="1">
      <alignment horizontal="center" vertical="center"/>
    </xf>
    <xf numFmtId="41" fontId="163" fillId="4" borderId="190" xfId="8" applyFont="1" applyFill="1" applyBorder="1" applyAlignment="1">
      <alignment horizontal="right" vertical="center" wrapText="1"/>
    </xf>
    <xf numFmtId="0" fontId="109" fillId="0" borderId="0" xfId="0" applyFont="1"/>
    <xf numFmtId="0" fontId="154" fillId="13" borderId="178" xfId="4" applyFont="1" applyFill="1" applyBorder="1" applyAlignment="1">
      <alignment horizontal="center" vertical="center" wrapText="1"/>
    </xf>
    <xf numFmtId="0" fontId="152" fillId="0" borderId="178" xfId="4" applyNumberFormat="1" applyFont="1" applyBorder="1" applyAlignment="1">
      <alignment horizontal="center" vertical="center" wrapText="1"/>
    </xf>
    <xf numFmtId="49" fontId="152" fillId="0" borderId="178" xfId="4" applyNumberFormat="1" applyFont="1" applyBorder="1" applyAlignment="1">
      <alignment horizontal="center" vertical="center"/>
    </xf>
    <xf numFmtId="188" fontId="128" fillId="0" borderId="178" xfId="27" applyNumberFormat="1" applyFont="1" applyBorder="1" applyAlignment="1">
      <alignment vertical="center"/>
    </xf>
    <xf numFmtId="41" fontId="152" fillId="0" borderId="178" xfId="1" applyFont="1" applyBorder="1" applyAlignment="1">
      <alignment horizontal="right" vertical="center"/>
    </xf>
    <xf numFmtId="41" fontId="154" fillId="0" borderId="178" xfId="4" applyNumberFormat="1" applyFont="1" applyBorder="1" applyAlignment="1">
      <alignment vertical="center"/>
    </xf>
    <xf numFmtId="41" fontId="152" fillId="0" borderId="178" xfId="27" applyNumberFormat="1" applyFont="1" applyBorder="1" applyAlignment="1">
      <alignment vertical="center"/>
    </xf>
    <xf numFmtId="198" fontId="152" fillId="0" borderId="178" xfId="4" applyNumberFormat="1" applyFont="1" applyBorder="1" applyAlignment="1">
      <alignment horizontal="center" vertical="center"/>
    </xf>
    <xf numFmtId="0" fontId="145" fillId="0" borderId="178" xfId="4" applyNumberFormat="1" applyFont="1" applyBorder="1" applyAlignment="1">
      <alignment horizontal="center" vertical="center" wrapText="1"/>
    </xf>
    <xf numFmtId="14" fontId="150" fillId="0" borderId="178" xfId="4" applyNumberFormat="1" applyFont="1" applyBorder="1" applyAlignment="1">
      <alignment horizontal="center" vertical="center"/>
    </xf>
    <xf numFmtId="188" fontId="165" fillId="0" borderId="178" xfId="27" applyNumberFormat="1" applyFont="1" applyBorder="1" applyAlignment="1">
      <alignment vertical="center"/>
    </xf>
    <xf numFmtId="41" fontId="145" fillId="0" borderId="178" xfId="1" applyFont="1" applyBorder="1" applyAlignment="1">
      <alignment horizontal="right" vertical="center"/>
    </xf>
    <xf numFmtId="41" fontId="112" fillId="0" borderId="178" xfId="4" applyNumberFormat="1" applyFont="1" applyBorder="1" applyAlignment="1">
      <alignment vertical="center"/>
    </xf>
    <xf numFmtId="41" fontId="145" fillId="0" borderId="178" xfId="27" applyNumberFormat="1" applyFont="1" applyBorder="1" applyAlignment="1">
      <alignment vertical="center"/>
    </xf>
    <xf numFmtId="41" fontId="112" fillId="0" borderId="175" xfId="27" applyFont="1" applyBorder="1" applyAlignment="1">
      <alignment horizontal="center" vertical="center"/>
    </xf>
    <xf numFmtId="41" fontId="112" fillId="0" borderId="177" xfId="27" applyFont="1" applyBorder="1" applyAlignment="1">
      <alignment horizontal="center" vertical="center"/>
    </xf>
    <xf numFmtId="198" fontId="145" fillId="0" borderId="178" xfId="4" applyNumberFormat="1" applyFont="1" applyBorder="1" applyAlignment="1">
      <alignment horizontal="center" vertical="center"/>
    </xf>
    <xf numFmtId="41" fontId="154" fillId="0" borderId="44" xfId="4" applyNumberFormat="1" applyFont="1" applyFill="1" applyBorder="1" applyAlignment="1">
      <alignment vertical="center" wrapText="1"/>
    </xf>
    <xf numFmtId="14" fontId="150" fillId="0" borderId="178" xfId="4" applyNumberFormat="1" applyFont="1" applyBorder="1" applyAlignment="1">
      <alignment vertical="center"/>
    </xf>
    <xf numFmtId="188" fontId="159" fillId="14" borderId="178" xfId="4" applyNumberFormat="1" applyFont="1" applyFill="1" applyBorder="1">
      <alignment vertical="center"/>
    </xf>
    <xf numFmtId="41" fontId="159" fillId="14" borderId="178" xfId="4" applyNumberFormat="1" applyFont="1" applyFill="1" applyBorder="1">
      <alignment vertical="center"/>
    </xf>
    <xf numFmtId="0" fontId="159" fillId="14" borderId="178" xfId="4" applyFont="1" applyFill="1" applyBorder="1" applyAlignment="1">
      <alignment horizontal="center" vertical="center"/>
    </xf>
    <xf numFmtId="0" fontId="159" fillId="14" borderId="178" xfId="4" quotePrefix="1" applyFont="1" applyFill="1" applyBorder="1" applyAlignment="1">
      <alignment horizontal="center" vertical="center"/>
    </xf>
    <xf numFmtId="0" fontId="159" fillId="51" borderId="197" xfId="21" applyFont="1" applyFill="1" applyBorder="1" applyAlignment="1">
      <alignment horizontal="center" vertical="center" wrapText="1"/>
    </xf>
    <xf numFmtId="10" fontId="128" fillId="0" borderId="260" xfId="55" applyNumberFormat="1" applyFont="1" applyBorder="1" applyAlignment="1">
      <alignment horizontal="center" vertical="center"/>
    </xf>
    <xf numFmtId="0" fontId="128" fillId="0" borderId="260" xfId="55" applyFont="1" applyBorder="1" applyAlignment="1">
      <alignment horizontal="center" vertical="center"/>
    </xf>
    <xf numFmtId="41" fontId="152" fillId="4" borderId="260" xfId="8" applyFont="1" applyFill="1" applyBorder="1" applyAlignment="1">
      <alignment horizontal="center" vertical="center" wrapText="1"/>
    </xf>
    <xf numFmtId="41" fontId="152" fillId="0" borderId="260" xfId="8" applyFont="1" applyBorder="1" applyAlignment="1">
      <alignment vertical="center"/>
    </xf>
    <xf numFmtId="41" fontId="152" fillId="4" borderId="260" xfId="21" applyNumberFormat="1" applyFont="1" applyFill="1" applyBorder="1" applyAlignment="1">
      <alignment vertical="center" wrapText="1"/>
    </xf>
    <xf numFmtId="177" fontId="154" fillId="4" borderId="260" xfId="21" applyNumberFormat="1" applyFont="1" applyFill="1" applyBorder="1" applyAlignment="1">
      <alignment horizontal="right" vertical="center" wrapText="1"/>
    </xf>
    <xf numFmtId="0" fontId="109" fillId="35" borderId="0" xfId="0" applyFont="1" applyFill="1" applyAlignment="1"/>
    <xf numFmtId="0" fontId="109" fillId="35" borderId="0" xfId="0" applyFont="1" applyFill="1" applyAlignment="1">
      <alignment horizontal="center"/>
    </xf>
    <xf numFmtId="0" fontId="109" fillId="2" borderId="0" xfId="0" applyFont="1" applyFill="1" applyAlignment="1"/>
    <xf numFmtId="0" fontId="109" fillId="2" borderId="0" xfId="0" applyFont="1" applyFill="1" applyAlignment="1">
      <alignment horizontal="center"/>
    </xf>
    <xf numFmtId="0" fontId="118" fillId="2" borderId="0" xfId="0" applyFont="1" applyFill="1" applyBorder="1" applyAlignment="1">
      <alignment horizontal="left"/>
    </xf>
    <xf numFmtId="41" fontId="116" fillId="2" borderId="0" xfId="0" applyNumberFormat="1" applyFont="1" applyFill="1" applyAlignment="1">
      <alignment horizontal="center"/>
    </xf>
    <xf numFmtId="0" fontId="152" fillId="2" borderId="0" xfId="3" applyFont="1" applyFill="1" applyBorder="1" applyAlignment="1">
      <alignment horizontal="right" vertical="center"/>
    </xf>
    <xf numFmtId="0" fontId="145" fillId="2" borderId="0" xfId="3" applyFont="1" applyFill="1" applyBorder="1" applyAlignment="1">
      <alignment horizontal="right" vertical="center"/>
    </xf>
    <xf numFmtId="0" fontId="146" fillId="2" borderId="0" xfId="3" applyFont="1" applyFill="1" applyBorder="1" applyAlignment="1">
      <alignment horizontal="left" vertical="center"/>
    </xf>
    <xf numFmtId="178" fontId="118" fillId="0" borderId="221" xfId="0" applyNumberFormat="1" applyFont="1" applyBorder="1" applyAlignment="1">
      <alignment horizontal="center" vertical="center" wrapText="1"/>
    </xf>
    <xf numFmtId="178" fontId="118" fillId="0" borderId="32" xfId="0" applyNumberFormat="1" applyFont="1" applyBorder="1" applyAlignment="1">
      <alignment horizontal="center" vertical="center" wrapText="1"/>
    </xf>
    <xf numFmtId="0" fontId="118" fillId="0" borderId="221" xfId="0" applyFont="1" applyBorder="1" applyAlignment="1">
      <alignment horizontal="center" vertical="center" wrapText="1"/>
    </xf>
    <xf numFmtId="0" fontId="118" fillId="0" borderId="222" xfId="0" applyNumberFormat="1" applyFont="1" applyBorder="1" applyAlignment="1">
      <alignment horizontal="center" vertical="center" wrapText="1"/>
    </xf>
    <xf numFmtId="0" fontId="118" fillId="0" borderId="221" xfId="0" applyFont="1" applyFill="1" applyBorder="1" applyAlignment="1">
      <alignment horizontal="center" vertical="center" wrapText="1"/>
    </xf>
    <xf numFmtId="3" fontId="112" fillId="0" borderId="221" xfId="0" applyNumberFormat="1" applyFont="1" applyBorder="1" applyAlignment="1">
      <alignment horizontal="center" vertical="center" wrapText="1"/>
    </xf>
    <xf numFmtId="3" fontId="112" fillId="0" borderId="203" xfId="0" applyNumberFormat="1" applyFont="1" applyBorder="1" applyAlignment="1">
      <alignment horizontal="center" vertical="center" wrapText="1"/>
    </xf>
    <xf numFmtId="212" fontId="116" fillId="0" borderId="221" xfId="0" applyNumberFormat="1" applyFont="1" applyBorder="1" applyAlignment="1">
      <alignment horizontal="center" vertical="center" wrapText="1"/>
    </xf>
    <xf numFmtId="179" fontId="112" fillId="0" borderId="222" xfId="0" applyNumberFormat="1" applyFont="1" applyBorder="1" applyAlignment="1">
      <alignment horizontal="center" vertical="center" wrapText="1"/>
    </xf>
    <xf numFmtId="212" fontId="123" fillId="0" borderId="219" xfId="0" applyNumberFormat="1" applyFont="1" applyFill="1" applyBorder="1" applyAlignment="1">
      <alignment horizontal="center" vertical="center" wrapText="1"/>
    </xf>
    <xf numFmtId="3" fontId="116" fillId="0" borderId="217" xfId="0" applyNumberFormat="1" applyFont="1" applyBorder="1" applyAlignment="1">
      <alignment horizontal="center" vertical="center" wrapText="1"/>
    </xf>
    <xf numFmtId="3" fontId="116" fillId="0" borderId="204" xfId="0" applyNumberFormat="1" applyFont="1" applyBorder="1" applyAlignment="1">
      <alignment horizontal="center" vertical="center" wrapText="1"/>
    </xf>
    <xf numFmtId="212" fontId="116" fillId="0" borderId="217" xfId="0" applyNumberFormat="1" applyFont="1" applyBorder="1" applyAlignment="1">
      <alignment horizontal="center" vertical="center" wrapText="1"/>
    </xf>
    <xf numFmtId="179" fontId="116" fillId="0" borderId="225" xfId="0" applyNumberFormat="1" applyFont="1" applyBorder="1" applyAlignment="1">
      <alignment horizontal="center" vertical="center" wrapText="1"/>
    </xf>
    <xf numFmtId="212" fontId="123" fillId="0" borderId="218" xfId="0" applyNumberFormat="1" applyFont="1" applyFill="1" applyBorder="1" applyAlignment="1">
      <alignment horizontal="center" vertical="center" wrapText="1"/>
    </xf>
    <xf numFmtId="41" fontId="154" fillId="0" borderId="33" xfId="7" applyFont="1" applyFill="1" applyBorder="1" applyAlignment="1">
      <alignment horizontal="center" vertical="center" wrapText="1"/>
    </xf>
    <xf numFmtId="0" fontId="152" fillId="2" borderId="33" xfId="0" applyFont="1" applyFill="1" applyBorder="1" applyAlignment="1">
      <alignment horizontal="center" vertical="center"/>
    </xf>
    <xf numFmtId="41" fontId="154" fillId="2" borderId="148" xfId="7" applyFont="1" applyFill="1" applyBorder="1">
      <alignment vertical="center"/>
    </xf>
    <xf numFmtId="41" fontId="153" fillId="2" borderId="80" xfId="8" applyFont="1" applyFill="1" applyBorder="1" applyAlignment="1">
      <alignment horizontal="center" vertical="center"/>
    </xf>
    <xf numFmtId="41" fontId="153" fillId="0" borderId="112" xfId="1" applyFont="1" applyFill="1" applyBorder="1" applyAlignment="1">
      <alignment horizontal="center" vertical="center"/>
    </xf>
    <xf numFmtId="41" fontId="153" fillId="0" borderId="25" xfId="1" applyFont="1" applyFill="1" applyBorder="1" applyAlignment="1">
      <alignment horizontal="center" vertical="center"/>
    </xf>
    <xf numFmtId="41" fontId="154" fillId="2" borderId="33" xfId="7" applyFont="1" applyFill="1" applyBorder="1" applyAlignment="1">
      <alignment horizontal="center" vertical="center"/>
    </xf>
    <xf numFmtId="41" fontId="166" fillId="0" borderId="33" xfId="1" applyFont="1" applyFill="1" applyBorder="1" applyAlignment="1">
      <alignment horizontal="center" vertical="center"/>
    </xf>
    <xf numFmtId="181" fontId="109" fillId="0" borderId="33" xfId="1" applyNumberFormat="1" applyFont="1" applyFill="1" applyBorder="1" applyAlignment="1">
      <alignment horizontal="center" vertical="center"/>
    </xf>
    <xf numFmtId="41" fontId="109" fillId="0" borderId="33" xfId="1" applyFont="1" applyFill="1" applyBorder="1" applyAlignment="1">
      <alignment horizontal="center" vertical="center"/>
    </xf>
    <xf numFmtId="182" fontId="109" fillId="0" borderId="33" xfId="1" applyNumberFormat="1" applyFont="1" applyFill="1" applyBorder="1" applyAlignment="1">
      <alignment horizontal="center" vertical="center"/>
    </xf>
    <xf numFmtId="41" fontId="154" fillId="0" borderId="74" xfId="7" applyFont="1" applyFill="1" applyBorder="1" applyAlignment="1">
      <alignment horizontal="center" vertical="center" wrapText="1"/>
    </xf>
    <xf numFmtId="0" fontId="152" fillId="2" borderId="74" xfId="0" applyFont="1" applyFill="1" applyBorder="1" applyAlignment="1">
      <alignment horizontal="center" vertical="center"/>
    </xf>
    <xf numFmtId="41" fontId="153" fillId="0" borderId="113" xfId="1" applyFont="1" applyFill="1" applyBorder="1" applyAlignment="1">
      <alignment horizontal="center" vertical="center"/>
    </xf>
    <xf numFmtId="41" fontId="153" fillId="0" borderId="162" xfId="1" applyFont="1" applyFill="1" applyBorder="1" applyAlignment="1">
      <alignment horizontal="center" vertical="center"/>
    </xf>
    <xf numFmtId="41" fontId="154" fillId="2" borderId="74" xfId="7" applyFont="1" applyFill="1" applyBorder="1" applyAlignment="1">
      <alignment horizontal="center" vertical="center"/>
    </xf>
    <xf numFmtId="41" fontId="166" fillId="0" borderId="80" xfId="1" applyFont="1" applyFill="1" applyBorder="1" applyAlignment="1">
      <alignment horizontal="center" vertical="center"/>
    </xf>
    <xf numFmtId="181" fontId="109" fillId="0" borderId="74" xfId="1" applyNumberFormat="1" applyFont="1" applyFill="1" applyBorder="1" applyAlignment="1">
      <alignment horizontal="center" vertical="center"/>
    </xf>
    <xf numFmtId="41" fontId="109" fillId="0" borderId="74" xfId="1" applyFont="1" applyFill="1" applyBorder="1" applyAlignment="1">
      <alignment horizontal="center" vertical="center"/>
    </xf>
    <xf numFmtId="182" fontId="109" fillId="0" borderId="74" xfId="1" applyNumberFormat="1" applyFont="1" applyFill="1" applyBorder="1" applyAlignment="1">
      <alignment horizontal="center" vertical="center"/>
    </xf>
    <xf numFmtId="0" fontId="109" fillId="8" borderId="0" xfId="0" applyFont="1" applyFill="1" applyAlignment="1"/>
    <xf numFmtId="0" fontId="154" fillId="0" borderId="74" xfId="0" applyFont="1" applyFill="1" applyBorder="1" applyAlignment="1">
      <alignment horizontal="center" vertical="center" wrapText="1"/>
    </xf>
    <xf numFmtId="181" fontId="109" fillId="2" borderId="74" xfId="1" applyNumberFormat="1" applyFont="1" applyFill="1" applyBorder="1" applyAlignment="1">
      <alignment horizontal="center" vertical="center"/>
    </xf>
    <xf numFmtId="182" fontId="109" fillId="2" borderId="74" xfId="1" applyNumberFormat="1" applyFont="1" applyFill="1" applyBorder="1" applyAlignment="1">
      <alignment horizontal="center" vertical="center"/>
    </xf>
    <xf numFmtId="41" fontId="154" fillId="2" borderId="74" xfId="8" applyFont="1" applyFill="1" applyBorder="1" applyAlignment="1">
      <alignment vertical="center"/>
    </xf>
    <xf numFmtId="41" fontId="154" fillId="0" borderId="148" xfId="7" applyFont="1" applyFill="1" applyBorder="1">
      <alignment vertical="center"/>
    </xf>
    <xf numFmtId="41" fontId="152" fillId="2" borderId="74" xfId="7" applyFont="1" applyFill="1" applyBorder="1" applyAlignment="1">
      <alignment horizontal="center" vertical="center"/>
    </xf>
    <xf numFmtId="181" fontId="109" fillId="0" borderId="183" xfId="0" applyNumberFormat="1" applyFont="1" applyFill="1" applyBorder="1" applyAlignment="1"/>
    <xf numFmtId="181" fontId="109" fillId="0" borderId="74" xfId="1" applyNumberFormat="1" applyFont="1" applyFill="1" applyBorder="1" applyAlignment="1">
      <alignment horizontal="right" vertical="center"/>
    </xf>
    <xf numFmtId="41" fontId="153" fillId="2" borderId="113" xfId="1" applyFont="1" applyFill="1" applyBorder="1" applyAlignment="1">
      <alignment horizontal="center" vertical="center"/>
    </xf>
    <xf numFmtId="41" fontId="153" fillId="2" borderId="162" xfId="1" applyFont="1" applyFill="1" applyBorder="1" applyAlignment="1">
      <alignment horizontal="center" vertical="center"/>
    </xf>
    <xf numFmtId="0" fontId="128" fillId="2" borderId="74" xfId="0" applyFont="1" applyFill="1" applyBorder="1" applyAlignment="1">
      <alignment horizontal="center" vertical="center"/>
    </xf>
    <xf numFmtId="41" fontId="128" fillId="2" borderId="148" xfId="7" applyFont="1" applyFill="1" applyBorder="1">
      <alignment vertical="center"/>
    </xf>
    <xf numFmtId="41" fontId="134" fillId="2" borderId="113" xfId="1" applyFont="1" applyFill="1" applyBorder="1" applyAlignment="1">
      <alignment horizontal="center" vertical="center"/>
    </xf>
    <xf numFmtId="41" fontId="134" fillId="2" borderId="162" xfId="1" applyFont="1" applyFill="1" applyBorder="1" applyAlignment="1">
      <alignment horizontal="center" vertical="center"/>
    </xf>
    <xf numFmtId="41" fontId="128" fillId="2" borderId="74" xfId="7" applyFont="1" applyFill="1" applyBorder="1" applyAlignment="1">
      <alignment horizontal="center" vertical="center"/>
    </xf>
    <xf numFmtId="41" fontId="154" fillId="2" borderId="148" xfId="7" applyFont="1" applyFill="1" applyBorder="1" applyAlignment="1">
      <alignment horizontal="center" vertical="center"/>
    </xf>
    <xf numFmtId="41" fontId="152" fillId="2" borderId="148" xfId="7" applyFont="1" applyFill="1" applyBorder="1" applyAlignment="1">
      <alignment horizontal="center" vertical="center"/>
    </xf>
    <xf numFmtId="41" fontId="109" fillId="0" borderId="74" xfId="1" applyNumberFormat="1" applyFont="1" applyFill="1" applyBorder="1" applyAlignment="1">
      <alignment horizontal="center" vertical="center"/>
    </xf>
    <xf numFmtId="41" fontId="152" fillId="2" borderId="148" xfId="7" applyFont="1" applyFill="1" applyBorder="1" applyAlignment="1">
      <alignment horizontal="right" vertical="center"/>
    </xf>
    <xf numFmtId="0" fontId="152" fillId="0" borderId="74" xfId="0" applyFont="1" applyFill="1" applyBorder="1" applyAlignment="1">
      <alignment horizontal="center" vertical="center"/>
    </xf>
    <xf numFmtId="41" fontId="152" fillId="0" borderId="74" xfId="7" applyFont="1" applyFill="1" applyBorder="1" applyAlignment="1">
      <alignment horizontal="center" vertical="center"/>
    </xf>
    <xf numFmtId="41" fontId="154" fillId="0" borderId="74" xfId="7" applyFont="1" applyFill="1" applyBorder="1" applyAlignment="1">
      <alignment horizontal="center" vertical="center"/>
    </xf>
    <xf numFmtId="41" fontId="154" fillId="0" borderId="124" xfId="7" applyFont="1" applyFill="1" applyBorder="1" applyAlignment="1">
      <alignment horizontal="center" vertical="center" wrapText="1"/>
    </xf>
    <xf numFmtId="14" fontId="118" fillId="2" borderId="206" xfId="6" applyNumberFormat="1" applyFont="1" applyFill="1" applyBorder="1" applyAlignment="1">
      <alignment horizontal="center" vertical="center"/>
    </xf>
    <xf numFmtId="41" fontId="118" fillId="2" borderId="206" xfId="1" applyNumberFormat="1" applyFont="1" applyFill="1" applyBorder="1" applyAlignment="1">
      <alignment horizontal="center" vertical="center"/>
    </xf>
    <xf numFmtId="41" fontId="118" fillId="2" borderId="207" xfId="1" applyNumberFormat="1" applyFont="1" applyFill="1" applyBorder="1" applyAlignment="1">
      <alignment horizontal="center" vertical="center"/>
    </xf>
    <xf numFmtId="41" fontId="118" fillId="2" borderId="97" xfId="1" applyFont="1" applyFill="1" applyBorder="1" applyAlignment="1">
      <alignment vertical="center"/>
    </xf>
    <xf numFmtId="41" fontId="118" fillId="2" borderId="206" xfId="1" applyFont="1" applyFill="1" applyBorder="1" applyAlignment="1">
      <alignment vertical="center"/>
    </xf>
    <xf numFmtId="41" fontId="119" fillId="2" borderId="206" xfId="0" applyNumberFormat="1" applyFont="1" applyFill="1" applyBorder="1" applyAlignment="1">
      <alignment vertical="center"/>
    </xf>
    <xf numFmtId="41" fontId="116" fillId="2" borderId="206" xfId="1" applyFont="1" applyFill="1" applyBorder="1" applyAlignment="1">
      <alignment horizontal="center" vertical="center"/>
    </xf>
    <xf numFmtId="41" fontId="112" fillId="2" borderId="206" xfId="1" applyFont="1" applyFill="1" applyBorder="1" applyAlignment="1">
      <alignment horizontal="center" vertical="center"/>
    </xf>
    <xf numFmtId="14" fontId="118" fillId="2" borderId="223" xfId="6" applyNumberFormat="1" applyFont="1" applyFill="1" applyBorder="1" applyAlignment="1">
      <alignment horizontal="center" vertical="center"/>
    </xf>
    <xf numFmtId="41" fontId="118" fillId="2" borderId="223" xfId="1" applyNumberFormat="1" applyFont="1" applyFill="1" applyBorder="1" applyAlignment="1">
      <alignment horizontal="center" vertical="center"/>
    </xf>
    <xf numFmtId="41" fontId="118" fillId="2" borderId="226" xfId="1" applyNumberFormat="1" applyFont="1" applyFill="1" applyBorder="1" applyAlignment="1">
      <alignment horizontal="center" vertical="center"/>
    </xf>
    <xf numFmtId="41" fontId="118" fillId="2" borderId="208" xfId="1" applyFont="1" applyFill="1" applyBorder="1" applyAlignment="1"/>
    <xf numFmtId="41" fontId="118" fillId="2" borderId="223" xfId="1" applyFont="1" applyFill="1" applyBorder="1" applyAlignment="1"/>
    <xf numFmtId="41" fontId="119" fillId="2" borderId="223" xfId="0" applyNumberFormat="1" applyFont="1" applyFill="1" applyBorder="1" applyAlignment="1"/>
    <xf numFmtId="41" fontId="116" fillId="2" borderId="223" xfId="1" applyFont="1" applyFill="1" applyBorder="1" applyAlignment="1">
      <alignment horizontal="center" vertical="center"/>
    </xf>
    <xf numFmtId="41" fontId="112" fillId="2" borderId="223" xfId="1" applyFont="1" applyFill="1" applyBorder="1" applyAlignment="1">
      <alignment horizontal="center" vertical="center"/>
    </xf>
    <xf numFmtId="0" fontId="118" fillId="2" borderId="223" xfId="0" applyFont="1" applyFill="1" applyBorder="1" applyAlignment="1">
      <alignment horizontal="center"/>
    </xf>
    <xf numFmtId="41" fontId="118" fillId="2" borderId="223" xfId="1" applyFont="1" applyFill="1" applyBorder="1" applyAlignment="1">
      <alignment horizontal="center" vertical="center"/>
    </xf>
    <xf numFmtId="41" fontId="118" fillId="2" borderId="226" xfId="1" applyFont="1" applyFill="1" applyBorder="1" applyAlignment="1">
      <alignment horizontal="center" vertical="center"/>
    </xf>
    <xf numFmtId="41" fontId="114" fillId="2" borderId="223" xfId="1" applyFont="1" applyFill="1" applyBorder="1" applyAlignment="1">
      <alignment horizontal="center" vertical="center"/>
    </xf>
    <xf numFmtId="0" fontId="116" fillId="2" borderId="0" xfId="0" applyFont="1" applyFill="1" applyBorder="1" applyAlignment="1">
      <alignment horizontal="left"/>
    </xf>
    <xf numFmtId="0" fontId="118" fillId="2" borderId="0" xfId="0" applyFont="1" applyFill="1" applyBorder="1" applyAlignment="1">
      <alignment horizontal="center"/>
    </xf>
    <xf numFmtId="41" fontId="118" fillId="2" borderId="0" xfId="1" applyFont="1" applyFill="1" applyBorder="1" applyAlignment="1">
      <alignment horizontal="center" vertical="center"/>
    </xf>
    <xf numFmtId="41" fontId="118" fillId="2" borderId="0" xfId="1" applyFont="1" applyFill="1" applyBorder="1" applyAlignment="1"/>
    <xf numFmtId="41" fontId="114" fillId="2" borderId="0" xfId="0" applyNumberFormat="1" applyFont="1" applyFill="1" applyBorder="1" applyAlignment="1"/>
    <xf numFmtId="41" fontId="116" fillId="2" borderId="0" xfId="1" applyFont="1" applyFill="1" applyBorder="1" applyAlignment="1">
      <alignment horizontal="center" vertical="center"/>
    </xf>
    <xf numFmtId="41" fontId="167" fillId="2" borderId="0" xfId="1" applyFont="1" applyFill="1" applyBorder="1" applyAlignment="1">
      <alignment horizontal="center" vertical="center"/>
    </xf>
    <xf numFmtId="178" fontId="118" fillId="0" borderId="229" xfId="0" applyNumberFormat="1" applyFont="1" applyBorder="1" applyAlignment="1">
      <alignment horizontal="center" vertical="center" wrapText="1"/>
    </xf>
    <xf numFmtId="0" fontId="118" fillId="0" borderId="229" xfId="0" applyFont="1" applyBorder="1" applyAlignment="1">
      <alignment horizontal="center" vertical="center" wrapText="1"/>
    </xf>
    <xf numFmtId="0" fontId="118" fillId="0" borderId="230" xfId="0" applyNumberFormat="1" applyFont="1" applyBorder="1" applyAlignment="1">
      <alignment horizontal="center" vertical="center" wrapText="1"/>
    </xf>
    <xf numFmtId="0" fontId="118" fillId="0" borderId="229" xfId="0" applyFont="1" applyFill="1" applyBorder="1" applyAlignment="1">
      <alignment horizontal="center" vertical="center" wrapText="1"/>
    </xf>
    <xf numFmtId="3" fontId="112" fillId="0" borderId="229" xfId="0" applyNumberFormat="1" applyFont="1" applyBorder="1" applyAlignment="1">
      <alignment horizontal="center" vertical="center" wrapText="1"/>
    </xf>
    <xf numFmtId="212" fontId="116" fillId="0" borderId="229" xfId="0" applyNumberFormat="1" applyFont="1" applyBorder="1" applyAlignment="1">
      <alignment horizontal="center" vertical="center" wrapText="1"/>
    </xf>
    <xf numFmtId="179" fontId="112" fillId="0" borderId="230" xfId="0" applyNumberFormat="1" applyFont="1" applyFill="1" applyBorder="1" applyAlignment="1">
      <alignment horizontal="center" vertical="center" wrapText="1"/>
    </xf>
    <xf numFmtId="212" fontId="123" fillId="0" borderId="227" xfId="0" applyNumberFormat="1" applyFont="1" applyFill="1" applyBorder="1" applyAlignment="1">
      <alignment horizontal="center" vertical="center" wrapText="1"/>
    </xf>
    <xf numFmtId="3" fontId="116" fillId="0" borderId="233" xfId="0" applyNumberFormat="1" applyFont="1" applyBorder="1" applyAlignment="1">
      <alignment horizontal="center" vertical="center" wrapText="1"/>
    </xf>
    <xf numFmtId="3" fontId="116" fillId="0" borderId="234" xfId="0" applyNumberFormat="1" applyFont="1" applyBorder="1" applyAlignment="1">
      <alignment horizontal="center" vertical="center" wrapText="1"/>
    </xf>
    <xf numFmtId="212" fontId="116" fillId="0" borderId="233" xfId="0" applyNumberFormat="1" applyFont="1" applyBorder="1" applyAlignment="1">
      <alignment horizontal="center" vertical="center" wrapText="1"/>
    </xf>
    <xf numFmtId="179" fontId="116" fillId="0" borderId="235" xfId="0" applyNumberFormat="1" applyFont="1" applyBorder="1" applyAlignment="1">
      <alignment horizontal="center" vertical="center" wrapText="1"/>
    </xf>
    <xf numFmtId="212" fontId="123" fillId="0" borderId="236" xfId="0" applyNumberFormat="1" applyFont="1" applyFill="1" applyBorder="1" applyAlignment="1">
      <alignment horizontal="center" vertical="center" wrapText="1"/>
    </xf>
    <xf numFmtId="0" fontId="153" fillId="0" borderId="33" xfId="6" applyFont="1" applyFill="1" applyBorder="1" applyAlignment="1">
      <alignment horizontal="center" vertical="center"/>
    </xf>
    <xf numFmtId="14" fontId="153" fillId="0" borderId="33" xfId="6" applyNumberFormat="1" applyFont="1" applyFill="1" applyBorder="1" applyAlignment="1">
      <alignment vertical="center"/>
    </xf>
    <xf numFmtId="41" fontId="134" fillId="0" borderId="33" xfId="8" applyFont="1" applyFill="1" applyBorder="1" applyAlignment="1">
      <alignment horizontal="center" vertical="center"/>
    </xf>
    <xf numFmtId="41" fontId="134" fillId="0" borderId="25" xfId="8" applyFont="1" applyFill="1" applyBorder="1" applyAlignment="1">
      <alignment horizontal="center" vertical="center"/>
    </xf>
    <xf numFmtId="41" fontId="153" fillId="0" borderId="98" xfId="1" applyFont="1" applyFill="1" applyBorder="1" applyAlignment="1">
      <alignment horizontal="center" vertical="center"/>
    </xf>
    <xf numFmtId="41" fontId="153" fillId="0" borderId="33" xfId="1" applyFont="1" applyFill="1" applyBorder="1" applyAlignment="1">
      <alignment horizontal="center" vertical="center"/>
    </xf>
    <xf numFmtId="182" fontId="134" fillId="0" borderId="33" xfId="1" applyNumberFormat="1" applyFont="1" applyFill="1" applyBorder="1" applyAlignment="1">
      <alignment horizontal="center" vertical="center"/>
    </xf>
    <xf numFmtId="41" fontId="165" fillId="0" borderId="33" xfId="1" applyFont="1" applyFill="1" applyBorder="1" applyAlignment="1">
      <alignment horizontal="center" vertical="center"/>
    </xf>
    <xf numFmtId="41" fontId="109" fillId="0" borderId="33" xfId="1" applyFont="1" applyFill="1" applyBorder="1" applyAlignment="1">
      <alignment horizontal="right" vertical="center"/>
    </xf>
    <xf numFmtId="14" fontId="109" fillId="0" borderId="33" xfId="0" applyNumberFormat="1" applyFont="1" applyFill="1" applyBorder="1" applyAlignment="1">
      <alignment horizontal="center" vertical="center"/>
    </xf>
    <xf numFmtId="0" fontId="153" fillId="0" borderId="74" xfId="6" applyFont="1" applyFill="1" applyBorder="1" applyAlignment="1">
      <alignment horizontal="center" vertical="center"/>
    </xf>
    <xf numFmtId="14" fontId="153" fillId="0" borderId="74" xfId="6" applyNumberFormat="1" applyFont="1" applyFill="1" applyBorder="1" applyAlignment="1">
      <alignment vertical="center"/>
    </xf>
    <xf numFmtId="41" fontId="134" fillId="0" borderId="74" xfId="8" applyFont="1" applyFill="1" applyBorder="1" applyAlignment="1">
      <alignment horizontal="center" vertical="center"/>
    </xf>
    <xf numFmtId="41" fontId="134" fillId="0" borderId="162" xfId="8" applyFont="1" applyFill="1" applyBorder="1" applyAlignment="1">
      <alignment horizontal="center" vertical="center"/>
    </xf>
    <xf numFmtId="41" fontId="153" fillId="0" borderId="95" xfId="1" applyFont="1" applyFill="1" applyBorder="1" applyAlignment="1">
      <alignment horizontal="center" vertical="center"/>
    </xf>
    <xf numFmtId="41" fontId="153" fillId="0" borderId="74" xfId="1" applyFont="1" applyFill="1" applyBorder="1" applyAlignment="1">
      <alignment horizontal="center" vertical="center"/>
    </xf>
    <xf numFmtId="182" fontId="134" fillId="0" borderId="74" xfId="1" applyNumberFormat="1" applyFont="1" applyFill="1" applyBorder="1" applyAlignment="1">
      <alignment horizontal="center" vertical="center"/>
    </xf>
    <xf numFmtId="41" fontId="165" fillId="0" borderId="74" xfId="1" applyFont="1" applyFill="1" applyBorder="1" applyAlignment="1">
      <alignment horizontal="center" vertical="center"/>
    </xf>
    <xf numFmtId="14" fontId="109" fillId="0" borderId="74" xfId="1" applyNumberFormat="1" applyFont="1" applyFill="1" applyBorder="1" applyAlignment="1">
      <alignment horizontal="center" vertical="center"/>
    </xf>
    <xf numFmtId="0" fontId="134" fillId="0" borderId="74" xfId="6" applyFont="1" applyFill="1" applyBorder="1" applyAlignment="1">
      <alignment horizontal="center" vertical="center"/>
    </xf>
    <xf numFmtId="41" fontId="153" fillId="0" borderId="74" xfId="8" applyFont="1" applyFill="1" applyBorder="1" applyAlignment="1">
      <alignment horizontal="center" vertical="center"/>
    </xf>
    <xf numFmtId="41" fontId="153" fillId="0" borderId="162" xfId="8" applyFont="1" applyFill="1" applyBorder="1" applyAlignment="1">
      <alignment horizontal="center" vertical="center"/>
    </xf>
    <xf numFmtId="41" fontId="153" fillId="0" borderId="113" xfId="8" applyFont="1" applyFill="1" applyBorder="1" applyAlignment="1">
      <alignment horizontal="center" vertical="center"/>
    </xf>
    <xf numFmtId="41" fontId="153" fillId="0" borderId="147" xfId="1" applyFont="1" applyFill="1" applyBorder="1" applyAlignment="1">
      <alignment horizontal="center" vertical="center"/>
    </xf>
    <xf numFmtId="41" fontId="134" fillId="0" borderId="113" xfId="8" applyFont="1" applyFill="1" applyBorder="1" applyAlignment="1">
      <alignment horizontal="center" vertical="center"/>
    </xf>
    <xf numFmtId="14" fontId="134" fillId="0" borderId="74" xfId="6" applyNumberFormat="1" applyFont="1" applyFill="1" applyBorder="1" applyAlignment="1">
      <alignment vertical="center"/>
    </xf>
    <xf numFmtId="41" fontId="134" fillId="0" borderId="147" xfId="8" applyFont="1" applyFill="1" applyBorder="1" applyAlignment="1">
      <alignment horizontal="center" vertical="center"/>
    </xf>
    <xf numFmtId="41" fontId="153" fillId="0" borderId="147" xfId="8" applyFont="1" applyFill="1" applyBorder="1" applyAlignment="1">
      <alignment horizontal="center" vertical="center"/>
    </xf>
    <xf numFmtId="182" fontId="109" fillId="0" borderId="74" xfId="1" applyNumberFormat="1" applyFont="1" applyFill="1" applyBorder="1" applyAlignment="1">
      <alignment horizontal="right" vertical="center"/>
    </xf>
    <xf numFmtId="41" fontId="134" fillId="0" borderId="95" xfId="8" applyFont="1" applyFill="1" applyBorder="1" applyAlignment="1">
      <alignment horizontal="center" vertical="center"/>
    </xf>
    <xf numFmtId="41" fontId="153" fillId="0" borderId="95" xfId="8" applyFont="1" applyFill="1" applyBorder="1" applyAlignment="1">
      <alignment horizontal="center" vertical="center"/>
    </xf>
    <xf numFmtId="0" fontId="153" fillId="2" borderId="74" xfId="6" applyFont="1" applyFill="1" applyBorder="1" applyAlignment="1">
      <alignment horizontal="center" vertical="center"/>
    </xf>
    <xf numFmtId="41" fontId="109" fillId="2" borderId="0" xfId="0" applyNumberFormat="1" applyFont="1" applyFill="1" applyAlignment="1"/>
    <xf numFmtId="14" fontId="109" fillId="0" borderId="74" xfId="6" applyNumberFormat="1" applyFont="1" applyFill="1" applyBorder="1" applyAlignment="1">
      <alignment vertical="center"/>
    </xf>
    <xf numFmtId="41" fontId="109" fillId="0" borderId="74" xfId="1" applyFont="1" applyFill="1" applyBorder="1" applyAlignment="1">
      <alignment vertical="center" wrapText="1"/>
    </xf>
    <xf numFmtId="41" fontId="109" fillId="0" borderId="74" xfId="1" applyFont="1" applyFill="1" applyBorder="1" applyAlignment="1">
      <alignment vertical="center"/>
    </xf>
    <xf numFmtId="41" fontId="153" fillId="2" borderId="95" xfId="1" applyFont="1" applyFill="1" applyBorder="1" applyAlignment="1">
      <alignment horizontal="center" vertical="center"/>
    </xf>
    <xf numFmtId="41" fontId="153" fillId="2" borderId="74" xfId="1" applyFont="1" applyFill="1" applyBorder="1" applyAlignment="1">
      <alignment horizontal="center" vertical="center"/>
    </xf>
    <xf numFmtId="182" fontId="134" fillId="2" borderId="74" xfId="1" applyNumberFormat="1" applyFont="1" applyFill="1" applyBorder="1" applyAlignment="1">
      <alignment horizontal="center" vertical="center"/>
    </xf>
    <xf numFmtId="41" fontId="109" fillId="2" borderId="74" xfId="1" applyFont="1" applyFill="1" applyBorder="1" applyAlignment="1">
      <alignment horizontal="center" vertical="center"/>
    </xf>
    <xf numFmtId="41" fontId="134" fillId="2" borderId="162" xfId="8" applyFont="1" applyFill="1" applyBorder="1" applyAlignment="1">
      <alignment horizontal="center" vertical="center"/>
    </xf>
    <xf numFmtId="0" fontId="153" fillId="0" borderId="183" xfId="6" applyFont="1" applyFill="1" applyBorder="1" applyAlignment="1">
      <alignment horizontal="center" vertical="center"/>
    </xf>
    <xf numFmtId="14" fontId="153" fillId="0" borderId="31" xfId="6" applyNumberFormat="1" applyFont="1" applyFill="1" applyBorder="1" applyAlignment="1">
      <alignment vertical="center"/>
    </xf>
    <xf numFmtId="41" fontId="134" fillId="0" borderId="183" xfId="8" applyFont="1" applyFill="1" applyBorder="1" applyAlignment="1">
      <alignment horizontal="center" vertical="center"/>
    </xf>
    <xf numFmtId="41" fontId="134" fillId="0" borderId="91" xfId="8" applyFont="1" applyFill="1" applyBorder="1" applyAlignment="1">
      <alignment horizontal="center" vertical="center"/>
    </xf>
    <xf numFmtId="41" fontId="153" fillId="2" borderId="99" xfId="1" applyFont="1" applyFill="1" applyBorder="1" applyAlignment="1">
      <alignment horizontal="center" vertical="center"/>
    </xf>
    <xf numFmtId="41" fontId="153" fillId="2" borderId="183" xfId="1" applyFont="1" applyFill="1" applyBorder="1" applyAlignment="1">
      <alignment horizontal="center" vertical="center"/>
    </xf>
    <xf numFmtId="41" fontId="153" fillId="0" borderId="183" xfId="1" applyFont="1" applyFill="1" applyBorder="1" applyAlignment="1">
      <alignment horizontal="center" vertical="center"/>
    </xf>
    <xf numFmtId="182" fontId="109" fillId="2" borderId="183" xfId="1" applyNumberFormat="1" applyFont="1" applyFill="1" applyBorder="1" applyAlignment="1">
      <alignment horizontal="center" vertical="center"/>
    </xf>
    <xf numFmtId="41" fontId="165" fillId="0" borderId="183" xfId="1" applyFont="1" applyFill="1" applyBorder="1" applyAlignment="1">
      <alignment horizontal="center" vertical="center"/>
    </xf>
    <xf numFmtId="41" fontId="109" fillId="2" borderId="183" xfId="1" applyFont="1" applyFill="1" applyBorder="1" applyAlignment="1">
      <alignment horizontal="center" vertical="center"/>
    </xf>
    <xf numFmtId="41" fontId="118" fillId="2" borderId="206" xfId="1" applyFont="1" applyFill="1" applyBorder="1" applyAlignment="1">
      <alignment horizontal="center" vertical="center"/>
    </xf>
    <xf numFmtId="41" fontId="118" fillId="2" borderId="207" xfId="1" applyFont="1" applyFill="1" applyBorder="1" applyAlignment="1">
      <alignment horizontal="center" vertical="center"/>
    </xf>
    <xf numFmtId="41" fontId="118" fillId="2" borderId="97" xfId="1" applyFont="1" applyFill="1" applyBorder="1" applyAlignment="1">
      <alignment horizontal="center" vertical="center"/>
    </xf>
    <xf numFmtId="41" fontId="167" fillId="2" borderId="206" xfId="1" applyFont="1" applyFill="1" applyBorder="1" applyAlignment="1">
      <alignment horizontal="center" vertical="center"/>
    </xf>
    <xf numFmtId="41" fontId="114" fillId="2" borderId="206" xfId="1" applyFont="1" applyFill="1" applyBorder="1" applyAlignment="1">
      <alignment horizontal="center" vertical="center"/>
    </xf>
    <xf numFmtId="41" fontId="114" fillId="2" borderId="212" xfId="1" applyFont="1" applyFill="1" applyBorder="1" applyAlignment="1">
      <alignment horizontal="center" vertical="center"/>
    </xf>
    <xf numFmtId="41" fontId="118" fillId="2" borderId="208" xfId="1" applyFont="1" applyFill="1" applyBorder="1" applyAlignment="1">
      <alignment horizontal="center" vertical="center"/>
    </xf>
    <xf numFmtId="41" fontId="167" fillId="2" borderId="223" xfId="1" applyFont="1" applyFill="1" applyBorder="1" applyAlignment="1">
      <alignment horizontal="center" vertical="center"/>
    </xf>
    <xf numFmtId="41" fontId="114" fillId="2" borderId="213" xfId="1" applyFont="1" applyFill="1" applyBorder="1" applyAlignment="1">
      <alignment horizontal="center" vertical="center"/>
    </xf>
    <xf numFmtId="0" fontId="114" fillId="2" borderId="223" xfId="0" applyFont="1" applyFill="1" applyBorder="1" applyAlignment="1"/>
    <xf numFmtId="0" fontId="114" fillId="2" borderId="213" xfId="0" applyFont="1" applyFill="1" applyBorder="1" applyAlignment="1"/>
    <xf numFmtId="14" fontId="118" fillId="2" borderId="214" xfId="6" applyNumberFormat="1" applyFont="1" applyFill="1" applyBorder="1" applyAlignment="1">
      <alignment horizontal="center" vertical="center"/>
    </xf>
    <xf numFmtId="41" fontId="118" fillId="2" borderId="214" xfId="1" applyFont="1" applyFill="1" applyBorder="1" applyAlignment="1">
      <alignment horizontal="center" vertical="center"/>
    </xf>
    <xf numFmtId="41" fontId="118" fillId="2" borderId="215" xfId="1" applyFont="1" applyFill="1" applyBorder="1" applyAlignment="1">
      <alignment horizontal="center" vertical="center"/>
    </xf>
    <xf numFmtId="41" fontId="118" fillId="2" borderId="100" xfId="1" applyFont="1" applyFill="1" applyBorder="1" applyAlignment="1">
      <alignment horizontal="center" vertical="center"/>
    </xf>
    <xf numFmtId="41" fontId="167" fillId="2" borderId="214" xfId="1" applyFont="1" applyFill="1" applyBorder="1" applyAlignment="1">
      <alignment horizontal="center" vertical="center"/>
    </xf>
    <xf numFmtId="41" fontId="114" fillId="2" borderId="214" xfId="1" applyFont="1" applyFill="1" applyBorder="1" applyAlignment="1">
      <alignment horizontal="center" vertical="center"/>
    </xf>
    <xf numFmtId="41" fontId="114" fillId="2" borderId="216" xfId="1" applyFont="1" applyFill="1" applyBorder="1" applyAlignment="1">
      <alignment horizontal="center" vertical="center"/>
    </xf>
    <xf numFmtId="0" fontId="114" fillId="2" borderId="0" xfId="0" applyFont="1" applyFill="1" applyAlignment="1">
      <alignment horizontal="left" vertical="center"/>
    </xf>
    <xf numFmtId="41" fontId="153" fillId="0" borderId="0" xfId="1" applyFont="1" applyFill="1" applyAlignment="1">
      <alignment vertical="center"/>
    </xf>
    <xf numFmtId="0" fontId="153" fillId="0" borderId="223" xfId="6" applyFont="1" applyFill="1" applyBorder="1" applyAlignment="1">
      <alignment horizontal="center" vertical="center"/>
    </xf>
    <xf numFmtId="0" fontId="153" fillId="2" borderId="0" xfId="6" applyFont="1" applyFill="1" applyAlignment="1">
      <alignment vertical="center"/>
    </xf>
    <xf numFmtId="184" fontId="168" fillId="2" borderId="0" xfId="1" applyNumberFormat="1" applyFont="1" applyFill="1" applyAlignment="1">
      <alignment horizontal="center" vertical="center"/>
    </xf>
    <xf numFmtId="180" fontId="168" fillId="2" borderId="0" xfId="1" applyNumberFormat="1" applyFont="1" applyFill="1" applyAlignment="1">
      <alignment horizontal="center" vertical="center" wrapText="1"/>
    </xf>
    <xf numFmtId="41" fontId="153" fillId="0" borderId="223" xfId="1" applyFont="1" applyFill="1" applyBorder="1" applyAlignment="1">
      <alignment horizontal="center" vertical="center"/>
    </xf>
    <xf numFmtId="41" fontId="153" fillId="0" borderId="223" xfId="6" applyNumberFormat="1" applyFont="1" applyFill="1" applyBorder="1" applyAlignment="1">
      <alignment vertical="center"/>
    </xf>
    <xf numFmtId="0" fontId="153" fillId="0" borderId="226" xfId="6" applyFont="1" applyFill="1" applyBorder="1" applyAlignment="1">
      <alignment horizontal="center" vertical="center"/>
    </xf>
    <xf numFmtId="0" fontId="109" fillId="2" borderId="223" xfId="0" applyFont="1" applyFill="1" applyBorder="1" applyAlignment="1"/>
    <xf numFmtId="41" fontId="153" fillId="2" borderId="0" xfId="1" applyFont="1" applyFill="1" applyBorder="1" applyAlignment="1">
      <alignment horizontal="center" vertical="center"/>
    </xf>
    <xf numFmtId="179" fontId="153" fillId="2" borderId="0" xfId="1" applyNumberFormat="1" applyFont="1" applyFill="1" applyBorder="1" applyAlignment="1">
      <alignment horizontal="center" vertical="center"/>
    </xf>
    <xf numFmtId="0" fontId="153" fillId="0" borderId="238" xfId="6" applyFont="1" applyFill="1" applyBorder="1" applyAlignment="1">
      <alignment horizontal="center" vertical="center"/>
    </xf>
    <xf numFmtId="180" fontId="153" fillId="0" borderId="0" xfId="1" applyNumberFormat="1" applyFont="1" applyFill="1" applyBorder="1" applyAlignment="1">
      <alignment horizontal="center" vertical="center"/>
    </xf>
    <xf numFmtId="0" fontId="169" fillId="0" borderId="0" xfId="6" applyFont="1" applyFill="1" applyAlignment="1">
      <alignment vertical="center"/>
    </xf>
    <xf numFmtId="0" fontId="153" fillId="0" borderId="0" xfId="6" applyFont="1" applyFill="1" applyAlignment="1">
      <alignment vertical="center"/>
    </xf>
    <xf numFmtId="41" fontId="134" fillId="0" borderId="223" xfId="6" applyNumberFormat="1" applyFont="1" applyFill="1" applyBorder="1" applyAlignment="1">
      <alignment vertical="center"/>
    </xf>
    <xf numFmtId="0" fontId="170" fillId="2" borderId="0" xfId="6" applyFont="1" applyFill="1" applyBorder="1" applyAlignment="1">
      <alignment horizontal="center" vertical="center"/>
    </xf>
    <xf numFmtId="41" fontId="153" fillId="0" borderId="0" xfId="1" applyFont="1" applyFill="1" applyAlignment="1">
      <alignment horizontal="center" vertical="center"/>
    </xf>
    <xf numFmtId="0" fontId="153" fillId="0" borderId="39" xfId="6" applyFont="1" applyFill="1" applyBorder="1" applyAlignment="1">
      <alignment horizontal="center" vertical="center"/>
    </xf>
    <xf numFmtId="41" fontId="118" fillId="0" borderId="40" xfId="6" applyNumberFormat="1" applyFont="1" applyFill="1" applyBorder="1" applyAlignment="1">
      <alignment horizontal="center" vertical="center"/>
    </xf>
    <xf numFmtId="0" fontId="153" fillId="0" borderId="126" xfId="6" applyFont="1" applyFill="1" applyBorder="1" applyAlignment="1">
      <alignment vertical="center"/>
    </xf>
    <xf numFmtId="0" fontId="153" fillId="2" borderId="0" xfId="6" applyFont="1" applyFill="1" applyBorder="1" applyAlignment="1">
      <alignment horizontal="center" vertical="center"/>
    </xf>
    <xf numFmtId="41" fontId="153" fillId="2" borderId="0" xfId="6" applyNumberFormat="1" applyFont="1" applyFill="1" applyBorder="1" applyAlignment="1">
      <alignment horizontal="center" vertical="center"/>
    </xf>
    <xf numFmtId="41" fontId="153" fillId="2" borderId="0" xfId="6" applyNumberFormat="1" applyFont="1" applyFill="1" applyBorder="1" applyAlignment="1">
      <alignment vertical="center"/>
    </xf>
    <xf numFmtId="0" fontId="153" fillId="2" borderId="0" xfId="6" applyFont="1" applyFill="1" applyBorder="1" applyAlignment="1">
      <alignment vertical="center"/>
    </xf>
    <xf numFmtId="0" fontId="109" fillId="2" borderId="0" xfId="4" applyFont="1" applyFill="1">
      <alignment vertical="center"/>
    </xf>
    <xf numFmtId="0" fontId="153" fillId="2" borderId="0" xfId="4" applyFont="1" applyFill="1">
      <alignment vertical="center"/>
    </xf>
    <xf numFmtId="0" fontId="153" fillId="0" borderId="0" xfId="4" applyFont="1" applyFill="1" applyBorder="1" applyAlignment="1">
      <alignment horizontal="right"/>
    </xf>
    <xf numFmtId="0" fontId="160" fillId="0" borderId="0" xfId="4" applyFont="1" applyAlignment="1">
      <alignment horizontal="right"/>
    </xf>
    <xf numFmtId="0" fontId="160" fillId="2" borderId="0" xfId="4" applyFont="1" applyFill="1" applyAlignment="1">
      <alignment horizontal="right"/>
    </xf>
    <xf numFmtId="0" fontId="160" fillId="0" borderId="0" xfId="4" applyFont="1" applyAlignment="1">
      <alignment horizontal="right" vertical="top"/>
    </xf>
    <xf numFmtId="0" fontId="160" fillId="2" borderId="0" xfId="4" applyFont="1" applyFill="1" applyAlignment="1">
      <alignment horizontal="right" vertical="top"/>
    </xf>
    <xf numFmtId="0" fontId="160" fillId="2" borderId="0" xfId="4" applyFont="1" applyFill="1" applyBorder="1" applyAlignment="1" applyProtection="1">
      <alignment horizontal="center" vertical="center" wrapText="1"/>
    </xf>
    <xf numFmtId="0" fontId="164" fillId="0" borderId="0" xfId="4" applyFont="1" applyFill="1" applyBorder="1" applyAlignment="1" applyProtection="1">
      <alignment horizontal="center" vertical="center" wrapText="1"/>
    </xf>
    <xf numFmtId="0" fontId="164" fillId="0" borderId="0" xfId="4" applyFont="1" applyFill="1" applyBorder="1" applyAlignment="1" applyProtection="1">
      <alignment horizontal="center" vertical="center"/>
    </xf>
    <xf numFmtId="49" fontId="160" fillId="0" borderId="190" xfId="4" applyNumberFormat="1" applyFont="1" applyFill="1" applyBorder="1" applyAlignment="1" applyProtection="1">
      <alignment horizontal="center" vertical="center" wrapText="1"/>
      <protection locked="0"/>
    </xf>
    <xf numFmtId="0" fontId="160" fillId="0" borderId="190" xfId="4" applyNumberFormat="1" applyFont="1" applyFill="1" applyBorder="1" applyAlignment="1" applyProtection="1">
      <alignment horizontal="center" vertical="center" shrinkToFit="1"/>
      <protection locked="0"/>
    </xf>
    <xf numFmtId="186" fontId="160" fillId="0" borderId="190" xfId="4" applyNumberFormat="1" applyFont="1" applyFill="1" applyBorder="1" applyAlignment="1">
      <alignment horizontal="right" vertical="center" shrinkToFit="1"/>
    </xf>
    <xf numFmtId="10" fontId="160" fillId="0" borderId="190" xfId="4" applyNumberFormat="1" applyFont="1" applyFill="1" applyBorder="1" applyAlignment="1">
      <alignment horizontal="center" vertical="center" shrinkToFit="1"/>
    </xf>
    <xf numFmtId="41" fontId="160" fillId="0" borderId="190" xfId="1" applyFont="1" applyFill="1" applyBorder="1" applyAlignment="1">
      <alignment horizontal="center" vertical="center" shrinkToFit="1"/>
    </xf>
    <xf numFmtId="41" fontId="160" fillId="0" borderId="190" xfId="4" applyNumberFormat="1" applyFont="1" applyFill="1" applyBorder="1" applyAlignment="1" applyProtection="1">
      <alignment horizontal="center" vertical="center"/>
      <protection locked="0"/>
    </xf>
    <xf numFmtId="43" fontId="154" fillId="0" borderId="190" xfId="4" applyNumberFormat="1" applyFont="1" applyFill="1" applyBorder="1" applyAlignment="1" applyProtection="1">
      <alignment horizontal="center" vertical="center"/>
      <protection locked="0"/>
    </xf>
    <xf numFmtId="10" fontId="160" fillId="0" borderId="190" xfId="4" applyNumberFormat="1" applyFont="1" applyFill="1" applyBorder="1" applyAlignment="1" applyProtection="1">
      <alignment horizontal="center" vertical="center" wrapText="1"/>
      <protection locked="0"/>
    </xf>
    <xf numFmtId="186" fontId="128" fillId="0" borderId="190" xfId="4" applyNumberFormat="1" applyFont="1" applyFill="1" applyBorder="1" applyAlignment="1" applyProtection="1">
      <alignment vertical="center"/>
      <protection locked="0"/>
    </xf>
    <xf numFmtId="186" fontId="154" fillId="0" borderId="190" xfId="4" applyNumberFormat="1" applyFont="1" applyFill="1" applyBorder="1" applyAlignment="1" applyProtection="1">
      <alignment vertical="center"/>
      <protection locked="0"/>
    </xf>
    <xf numFmtId="186" fontId="154" fillId="2" borderId="0" xfId="4" applyNumberFormat="1" applyFont="1" applyFill="1" applyBorder="1" applyAlignment="1" applyProtection="1">
      <alignment vertical="center"/>
      <protection locked="0"/>
    </xf>
    <xf numFmtId="185" fontId="164" fillId="0" borderId="0" xfId="4" applyNumberFormat="1" applyFont="1" applyFill="1" applyBorder="1" applyAlignment="1" applyProtection="1">
      <alignment horizontal="center" vertical="center" wrapText="1"/>
    </xf>
    <xf numFmtId="43" fontId="164" fillId="0" borderId="0" xfId="4" applyNumberFormat="1" applyFont="1" applyFill="1" applyBorder="1" applyAlignment="1" applyProtection="1">
      <alignment horizontal="center" vertical="center" wrapText="1"/>
    </xf>
    <xf numFmtId="41" fontId="154" fillId="0" borderId="0" xfId="4" applyNumberFormat="1" applyFont="1" applyFill="1" applyBorder="1" applyAlignment="1" applyProtection="1">
      <alignment horizontal="center" vertical="center"/>
    </xf>
    <xf numFmtId="49" fontId="154" fillId="0" borderId="190" xfId="4" applyNumberFormat="1" applyFont="1" applyFill="1" applyBorder="1" applyAlignment="1" applyProtection="1">
      <alignment horizontal="center" vertical="center" wrapText="1"/>
      <protection locked="0"/>
    </xf>
    <xf numFmtId="186" fontId="154" fillId="0" borderId="190" xfId="4" applyNumberFormat="1" applyFont="1" applyFill="1" applyBorder="1" applyAlignment="1">
      <alignment horizontal="right" vertical="center" shrinkToFit="1"/>
    </xf>
    <xf numFmtId="10" fontId="154" fillId="0" borderId="190" xfId="4" applyNumberFormat="1" applyFont="1" applyFill="1" applyBorder="1" applyAlignment="1">
      <alignment horizontal="center" vertical="center" shrinkToFit="1"/>
    </xf>
    <xf numFmtId="41" fontId="154" fillId="0" borderId="190" xfId="4" applyNumberFormat="1" applyFont="1" applyFill="1" applyBorder="1" applyAlignment="1" applyProtection="1">
      <alignment horizontal="center" vertical="center"/>
      <protection locked="0"/>
    </xf>
    <xf numFmtId="10" fontId="154" fillId="0" borderId="190" xfId="4" applyNumberFormat="1" applyFont="1" applyFill="1" applyBorder="1" applyAlignment="1" applyProtection="1">
      <alignment horizontal="center" vertical="center" shrinkToFit="1"/>
      <protection locked="0"/>
    </xf>
    <xf numFmtId="41" fontId="154" fillId="0" borderId="190" xfId="1" applyFont="1" applyFill="1" applyBorder="1" applyAlignment="1" applyProtection="1">
      <alignment horizontal="center" vertical="center" shrinkToFit="1"/>
      <protection locked="0"/>
    </xf>
    <xf numFmtId="41" fontId="154" fillId="0" borderId="190" xfId="4" applyNumberFormat="1" applyFont="1" applyFill="1" applyBorder="1" applyAlignment="1" applyProtection="1">
      <alignment horizontal="center" vertical="center" shrinkToFit="1"/>
      <protection locked="0"/>
    </xf>
    <xf numFmtId="186" fontId="154" fillId="0" borderId="190" xfId="4" applyNumberFormat="1" applyFont="1" applyFill="1" applyBorder="1" applyAlignment="1" applyProtection="1">
      <alignment vertical="center" shrinkToFit="1"/>
      <protection locked="0"/>
    </xf>
    <xf numFmtId="199" fontId="109" fillId="0" borderId="0" xfId="4" applyNumberFormat="1" applyFont="1">
      <alignment vertical="center"/>
    </xf>
    <xf numFmtId="10" fontId="109" fillId="0" borderId="0" xfId="2" applyNumberFormat="1" applyFont="1">
      <alignment vertical="center"/>
    </xf>
    <xf numFmtId="0" fontId="109" fillId="11" borderId="0" xfId="4" applyFont="1" applyFill="1">
      <alignment vertical="center"/>
    </xf>
    <xf numFmtId="41" fontId="154" fillId="11" borderId="0" xfId="4" applyNumberFormat="1" applyFont="1" applyFill="1" applyBorder="1" applyAlignment="1" applyProtection="1">
      <alignment horizontal="center" vertical="center"/>
    </xf>
    <xf numFmtId="41" fontId="159" fillId="16" borderId="0" xfId="5" applyFont="1" applyFill="1" applyBorder="1" applyAlignment="1" applyProtection="1">
      <alignment vertical="center"/>
    </xf>
    <xf numFmtId="0" fontId="160" fillId="0" borderId="0" xfId="4" applyFont="1" applyFill="1" applyBorder="1" applyAlignment="1" applyProtection="1">
      <alignment vertical="center" wrapText="1"/>
    </xf>
    <xf numFmtId="0" fontId="160" fillId="2" borderId="0" xfId="4" applyFont="1" applyFill="1" applyBorder="1" applyAlignment="1" applyProtection="1">
      <alignment horizontal="left" vertical="center" wrapText="1"/>
    </xf>
    <xf numFmtId="0" fontId="164" fillId="0" borderId="0" xfId="4" applyFont="1" applyFill="1" applyBorder="1">
      <alignment vertical="center"/>
    </xf>
    <xf numFmtId="177" fontId="164" fillId="0" borderId="0" xfId="2" applyNumberFormat="1" applyFont="1" applyFill="1" applyBorder="1">
      <alignment vertical="center"/>
    </xf>
    <xf numFmtId="0" fontId="164" fillId="2" borderId="0" xfId="4" applyFont="1" applyFill="1" applyBorder="1">
      <alignment vertical="center"/>
    </xf>
    <xf numFmtId="177" fontId="109" fillId="0" borderId="0" xfId="4" applyNumberFormat="1" applyFont="1">
      <alignment vertical="center"/>
    </xf>
    <xf numFmtId="9" fontId="109" fillId="0" borderId="0" xfId="2" applyFont="1">
      <alignment vertical="center"/>
    </xf>
    <xf numFmtId="43" fontId="109" fillId="0" borderId="0" xfId="4" applyNumberFormat="1" applyFont="1">
      <alignment vertical="center"/>
    </xf>
    <xf numFmtId="0" fontId="153" fillId="0" borderId="0" xfId="4" applyFont="1" applyFill="1" applyBorder="1" applyAlignment="1" applyProtection="1">
      <alignment horizontal="left"/>
    </xf>
    <xf numFmtId="0" fontId="153" fillId="0" borderId="0" xfId="4" applyFont="1" applyFill="1" applyBorder="1" applyAlignment="1" applyProtection="1">
      <alignment horizontal="center"/>
    </xf>
    <xf numFmtId="9" fontId="153" fillId="0" borderId="0" xfId="23" applyFont="1" applyFill="1" applyBorder="1" applyAlignment="1" applyProtection="1">
      <alignment horizontal="center"/>
    </xf>
    <xf numFmtId="0" fontId="153" fillId="2" borderId="0" xfId="4" applyFont="1" applyFill="1" applyBorder="1" applyAlignment="1" applyProtection="1">
      <alignment horizontal="center"/>
    </xf>
    <xf numFmtId="0" fontId="153" fillId="0" borderId="0" xfId="4" applyFont="1" applyFill="1" applyBorder="1" applyAlignment="1" applyProtection="1"/>
    <xf numFmtId="9" fontId="153" fillId="0" borderId="0" xfId="23" applyFont="1" applyFill="1" applyBorder="1" applyAlignment="1" applyProtection="1"/>
    <xf numFmtId="0" fontId="153" fillId="2" borderId="0" xfId="4" applyFont="1" applyFill="1" applyBorder="1" applyAlignment="1" applyProtection="1"/>
    <xf numFmtId="3" fontId="153" fillId="0" borderId="0" xfId="4" applyNumberFormat="1" applyFont="1" applyFill="1" applyBorder="1" applyAlignment="1" applyProtection="1"/>
    <xf numFmtId="10" fontId="153" fillId="0" borderId="0" xfId="4" applyNumberFormat="1" applyFont="1" applyFill="1" applyBorder="1" applyAlignment="1" applyProtection="1"/>
    <xf numFmtId="200" fontId="153" fillId="0" borderId="0" xfId="4" applyNumberFormat="1" applyFont="1" applyFill="1" applyBorder="1" applyAlignment="1" applyProtection="1"/>
    <xf numFmtId="200" fontId="153" fillId="2" borderId="0" xfId="4" applyNumberFormat="1" applyFont="1" applyFill="1" applyBorder="1" applyAlignment="1" applyProtection="1"/>
    <xf numFmtId="49" fontId="153" fillId="0" borderId="0" xfId="4" applyNumberFormat="1" applyFont="1" applyFill="1" applyBorder="1" applyAlignment="1" applyProtection="1"/>
    <xf numFmtId="188" fontId="109" fillId="0" borderId="0" xfId="1" applyNumberFormat="1" applyFont="1">
      <alignment vertical="center"/>
    </xf>
    <xf numFmtId="0" fontId="153" fillId="0" borderId="0" xfId="4" quotePrefix="1" applyFont="1" applyBorder="1" applyProtection="1">
      <alignment vertical="center"/>
    </xf>
    <xf numFmtId="0" fontId="153" fillId="0" borderId="0" xfId="4" applyFont="1" applyBorder="1" applyProtection="1">
      <alignment vertical="center"/>
    </xf>
    <xf numFmtId="9" fontId="153" fillId="0" borderId="0" xfId="23" applyFont="1" applyBorder="1" applyAlignment="1" applyProtection="1"/>
    <xf numFmtId="0" fontId="153" fillId="2" borderId="0" xfId="4" applyFont="1" applyFill="1" applyBorder="1" applyProtection="1">
      <alignment vertical="center"/>
    </xf>
    <xf numFmtId="9" fontId="153" fillId="0" borderId="0" xfId="23" applyFont="1" applyAlignment="1"/>
    <xf numFmtId="0" fontId="112" fillId="0" borderId="0" xfId="4" applyFont="1">
      <alignment vertical="center"/>
    </xf>
    <xf numFmtId="201" fontId="109" fillId="0" borderId="0" xfId="1" applyNumberFormat="1" applyFont="1">
      <alignment vertical="center"/>
    </xf>
    <xf numFmtId="193" fontId="109" fillId="0" borderId="0" xfId="1" applyNumberFormat="1" applyFont="1">
      <alignment vertical="center"/>
    </xf>
    <xf numFmtId="43" fontId="112" fillId="0" borderId="0" xfId="4" applyNumberFormat="1" applyFont="1">
      <alignment vertical="center"/>
    </xf>
    <xf numFmtId="9" fontId="112" fillId="0" borderId="0" xfId="4" applyNumberFormat="1" applyFont="1">
      <alignment vertical="center"/>
    </xf>
    <xf numFmtId="9" fontId="153" fillId="0" borderId="0" xfId="2" applyFont="1">
      <alignment vertical="center"/>
    </xf>
    <xf numFmtId="0" fontId="175" fillId="35" borderId="0" xfId="0" applyFont="1" applyFill="1" applyAlignment="1">
      <alignment vertical="center"/>
    </xf>
    <xf numFmtId="0" fontId="175" fillId="0" borderId="0" xfId="0" applyFont="1" applyAlignment="1">
      <alignment vertical="center"/>
    </xf>
    <xf numFmtId="41" fontId="114" fillId="0" borderId="0" xfId="1" applyFont="1">
      <alignment vertical="center"/>
    </xf>
    <xf numFmtId="0" fontId="175" fillId="0" borderId="0" xfId="0" applyFont="1" applyAlignment="1">
      <alignment horizontal="center" vertical="center"/>
    </xf>
    <xf numFmtId="49" fontId="134" fillId="0" borderId="0" xfId="0" applyNumberFormat="1" applyFont="1" applyAlignment="1">
      <alignment vertical="center"/>
    </xf>
    <xf numFmtId="3" fontId="109" fillId="0" borderId="0" xfId="0" applyNumberFormat="1" applyFont="1" applyAlignment="1">
      <alignment vertical="center"/>
    </xf>
    <xf numFmtId="49" fontId="176" fillId="17" borderId="0" xfId="0" applyNumberFormat="1" applyFont="1" applyFill="1" applyAlignment="1">
      <alignment horizontal="center" vertical="center"/>
    </xf>
    <xf numFmtId="0" fontId="176" fillId="17" borderId="240" xfId="0" quotePrefix="1" applyNumberFormat="1" applyFont="1" applyFill="1" applyBorder="1" applyAlignment="1">
      <alignment horizontal="center" vertical="center"/>
    </xf>
    <xf numFmtId="49" fontId="177" fillId="17" borderId="237" xfId="0" applyNumberFormat="1" applyFont="1" applyFill="1" applyBorder="1" applyAlignment="1">
      <alignment horizontal="center" vertical="center"/>
    </xf>
    <xf numFmtId="0" fontId="176" fillId="17" borderId="237" xfId="0" applyNumberFormat="1" applyFont="1" applyFill="1" applyBorder="1" applyAlignment="1">
      <alignment horizontal="center" vertical="center"/>
    </xf>
    <xf numFmtId="49" fontId="176" fillId="17" borderId="237" xfId="0" applyNumberFormat="1" applyFont="1" applyFill="1" applyBorder="1" applyAlignment="1">
      <alignment horizontal="center" vertical="center"/>
    </xf>
    <xf numFmtId="0" fontId="176" fillId="17" borderId="0" xfId="0" applyNumberFormat="1" applyFont="1" applyFill="1" applyAlignment="1">
      <alignment horizontal="center" vertical="center"/>
    </xf>
    <xf numFmtId="0" fontId="176" fillId="17" borderId="0" xfId="0" quotePrefix="1" applyNumberFormat="1" applyFont="1" applyFill="1" applyAlignment="1">
      <alignment horizontal="center" vertical="center"/>
    </xf>
    <xf numFmtId="41" fontId="119" fillId="0" borderId="0" xfId="1" applyFont="1">
      <alignment vertical="center"/>
    </xf>
    <xf numFmtId="41" fontId="119" fillId="18" borderId="242" xfId="1" applyFont="1" applyFill="1" applyBorder="1">
      <alignment vertical="center"/>
    </xf>
    <xf numFmtId="41" fontId="119" fillId="18" borderId="241" xfId="1" applyFont="1" applyFill="1" applyBorder="1">
      <alignment vertical="center"/>
    </xf>
    <xf numFmtId="41" fontId="119" fillId="18" borderId="223" xfId="1" applyFont="1" applyFill="1" applyBorder="1">
      <alignment vertical="center"/>
    </xf>
    <xf numFmtId="41" fontId="119" fillId="18" borderId="226" xfId="1" applyFont="1" applyFill="1" applyBorder="1">
      <alignment vertical="center"/>
    </xf>
    <xf numFmtId="41" fontId="134" fillId="0" borderId="31" xfId="1" applyFont="1" applyBorder="1">
      <alignment vertical="center"/>
    </xf>
    <xf numFmtId="41" fontId="134" fillId="0" borderId="183" xfId="1" applyFont="1" applyBorder="1">
      <alignment vertical="center"/>
    </xf>
    <xf numFmtId="41" fontId="134" fillId="19" borderId="183" xfId="1" applyFont="1" applyFill="1" applyBorder="1">
      <alignment vertical="center"/>
    </xf>
    <xf numFmtId="41" fontId="134" fillId="0" borderId="91" xfId="1" applyFont="1" applyBorder="1">
      <alignment vertical="center"/>
    </xf>
    <xf numFmtId="41" fontId="134" fillId="19" borderId="201" xfId="1" applyFont="1" applyFill="1" applyBorder="1">
      <alignment vertical="center"/>
    </xf>
    <xf numFmtId="41" fontId="134" fillId="19" borderId="92" xfId="1" applyFont="1" applyFill="1" applyBorder="1">
      <alignment vertical="center"/>
    </xf>
    <xf numFmtId="41" fontId="134" fillId="19" borderId="205" xfId="1" applyFont="1" applyFill="1" applyBorder="1">
      <alignment vertical="center"/>
    </xf>
    <xf numFmtId="41" fontId="134" fillId="19" borderId="184" xfId="1" applyFont="1" applyFill="1" applyBorder="1">
      <alignment vertical="center"/>
    </xf>
    <xf numFmtId="41" fontId="134" fillId="19" borderId="242" xfId="1" applyFont="1" applyFill="1" applyBorder="1">
      <alignment vertical="center"/>
    </xf>
    <xf numFmtId="41" fontId="134" fillId="19" borderId="241" xfId="1" applyFont="1" applyFill="1" applyBorder="1">
      <alignment vertical="center"/>
    </xf>
    <xf numFmtId="41" fontId="134" fillId="19" borderId="223" xfId="1" applyFont="1" applyFill="1" applyBorder="1">
      <alignment vertical="center"/>
    </xf>
    <xf numFmtId="41" fontId="134" fillId="19" borderId="226" xfId="1" applyFont="1" applyFill="1" applyBorder="1">
      <alignment vertical="center"/>
    </xf>
    <xf numFmtId="41" fontId="118" fillId="0" borderId="0" xfId="1" applyFont="1">
      <alignment vertical="center"/>
    </xf>
    <xf numFmtId="0" fontId="153" fillId="0" borderId="0" xfId="0" applyFont="1" applyAlignment="1">
      <alignment vertical="center"/>
    </xf>
    <xf numFmtId="41" fontId="153" fillId="0" borderId="31" xfId="1" applyFont="1" applyBorder="1">
      <alignment vertical="center"/>
    </xf>
    <xf numFmtId="41" fontId="153" fillId="0" borderId="183" xfId="1" applyFont="1" applyBorder="1">
      <alignment vertical="center"/>
    </xf>
    <xf numFmtId="41" fontId="153" fillId="19" borderId="183" xfId="1" applyFont="1" applyFill="1" applyBorder="1">
      <alignment vertical="center"/>
    </xf>
    <xf numFmtId="41" fontId="153" fillId="0" borderId="0" xfId="1" applyFont="1">
      <alignment vertical="center"/>
    </xf>
    <xf numFmtId="41" fontId="153" fillId="0" borderId="91" xfId="1" applyFont="1" applyBorder="1">
      <alignment vertical="center"/>
    </xf>
    <xf numFmtId="3" fontId="112" fillId="0" borderId="0" xfId="0" applyNumberFormat="1" applyFont="1" applyAlignment="1">
      <alignment vertical="center"/>
    </xf>
    <xf numFmtId="189" fontId="119" fillId="18" borderId="242" xfId="1" applyNumberFormat="1" applyFont="1" applyFill="1" applyBorder="1">
      <alignment vertical="center"/>
    </xf>
    <xf numFmtId="189" fontId="119" fillId="18" borderId="223" xfId="1" applyNumberFormat="1" applyFont="1" applyFill="1" applyBorder="1">
      <alignment vertical="center"/>
    </xf>
    <xf numFmtId="189" fontId="134" fillId="0" borderId="31" xfId="1" applyNumberFormat="1" applyFont="1" applyBorder="1">
      <alignment vertical="center"/>
    </xf>
    <xf numFmtId="41" fontId="134" fillId="19" borderId="31" xfId="1" applyFont="1" applyFill="1" applyBorder="1">
      <alignment vertical="center"/>
    </xf>
    <xf numFmtId="41" fontId="134" fillId="0" borderId="201" xfId="1" applyFont="1" applyBorder="1">
      <alignment vertical="center"/>
    </xf>
    <xf numFmtId="41" fontId="134" fillId="0" borderId="205" xfId="1" applyFont="1" applyBorder="1">
      <alignment vertical="center"/>
    </xf>
    <xf numFmtId="41" fontId="153" fillId="0" borderId="201" xfId="1" applyFont="1" applyBorder="1">
      <alignment vertical="center"/>
    </xf>
    <xf numFmtId="41" fontId="153" fillId="0" borderId="205" xfId="1" applyFont="1" applyBorder="1">
      <alignment vertical="center"/>
    </xf>
    <xf numFmtId="41" fontId="153" fillId="19" borderId="205" xfId="1" applyFont="1" applyFill="1" applyBorder="1">
      <alignment vertical="center"/>
    </xf>
    <xf numFmtId="189" fontId="119" fillId="18" borderId="92" xfId="1" applyNumberFormat="1" applyFont="1" applyFill="1" applyBorder="1">
      <alignment vertical="center"/>
    </xf>
    <xf numFmtId="41" fontId="119" fillId="18" borderId="184" xfId="1" applyFont="1" applyFill="1" applyBorder="1">
      <alignment vertical="center"/>
    </xf>
    <xf numFmtId="41" fontId="119" fillId="18" borderId="205" xfId="1" applyFont="1" applyFill="1" applyBorder="1">
      <alignment vertical="center"/>
    </xf>
    <xf numFmtId="3" fontId="134" fillId="0" borderId="0" xfId="1" applyNumberFormat="1" applyFont="1">
      <alignment vertical="center"/>
    </xf>
    <xf numFmtId="49" fontId="109" fillId="0" borderId="0" xfId="0" applyNumberFormat="1" applyFont="1" applyAlignment="1">
      <alignment horizontal="right" vertical="center"/>
    </xf>
    <xf numFmtId="41" fontId="128" fillId="0" borderId="0" xfId="1" applyFont="1">
      <alignment vertical="center"/>
    </xf>
    <xf numFmtId="41" fontId="135" fillId="0" borderId="0" xfId="1" applyFont="1">
      <alignment vertical="center"/>
    </xf>
    <xf numFmtId="0" fontId="135" fillId="0" borderId="0" xfId="0" applyFont="1" applyAlignment="1">
      <alignment vertical="center"/>
    </xf>
    <xf numFmtId="0" fontId="115" fillId="0" borderId="0" xfId="0" applyFont="1" applyAlignment="1">
      <alignment vertical="center"/>
    </xf>
    <xf numFmtId="0" fontId="116" fillId="2" borderId="0" xfId="4" applyFont="1" applyFill="1" applyBorder="1" applyAlignment="1"/>
    <xf numFmtId="0" fontId="171" fillId="2" borderId="0" xfId="4" applyFont="1" applyFill="1" applyBorder="1" applyAlignment="1">
      <alignment horizontal="left"/>
    </xf>
    <xf numFmtId="0" fontId="171" fillId="2" borderId="0" xfId="4" applyFont="1" applyFill="1" applyBorder="1" applyAlignment="1"/>
    <xf numFmtId="3" fontId="171" fillId="2" borderId="0" xfId="4" applyNumberFormat="1" applyFont="1" applyFill="1" applyBorder="1" applyAlignment="1"/>
    <xf numFmtId="0" fontId="151" fillId="2" borderId="0" xfId="4" applyFont="1" applyFill="1" applyBorder="1" applyAlignment="1">
      <alignment horizontal="right"/>
    </xf>
    <xf numFmtId="0" fontId="123" fillId="2" borderId="0" xfId="4" applyFont="1" applyFill="1" applyAlignment="1">
      <alignment horizontal="right" vertical="center"/>
    </xf>
    <xf numFmtId="0" fontId="112" fillId="2" borderId="0" xfId="4" applyFont="1" applyFill="1">
      <alignment vertical="center"/>
    </xf>
    <xf numFmtId="0" fontId="116" fillId="2" borderId="0" xfId="4" applyFont="1" applyFill="1" applyBorder="1">
      <alignment vertical="center"/>
    </xf>
    <xf numFmtId="0" fontId="112" fillId="2" borderId="0" xfId="4" applyFont="1" applyFill="1" applyBorder="1">
      <alignment vertical="center"/>
    </xf>
    <xf numFmtId="0" fontId="109" fillId="0" borderId="0" xfId="4" applyFont="1" applyAlignment="1">
      <alignment horizontal="center" vertical="center"/>
    </xf>
    <xf numFmtId="0" fontId="112" fillId="2" borderId="0" xfId="4" applyFont="1" applyFill="1" applyAlignment="1">
      <alignment horizontal="right" vertical="center"/>
    </xf>
    <xf numFmtId="10" fontId="109" fillId="0" borderId="0" xfId="4" applyNumberFormat="1" applyFont="1">
      <alignment vertical="center"/>
    </xf>
    <xf numFmtId="0" fontId="112" fillId="2" borderId="0" xfId="4" applyFont="1" applyFill="1" applyBorder="1" applyAlignment="1">
      <alignment horizontal="center" vertical="center" wrapText="1"/>
    </xf>
    <xf numFmtId="2" fontId="109" fillId="0" borderId="0" xfId="4" applyNumberFormat="1" applyFont="1">
      <alignment vertical="center"/>
    </xf>
    <xf numFmtId="10" fontId="145" fillId="0" borderId="0" xfId="23" applyNumberFormat="1" applyFont="1">
      <alignment vertical="center"/>
    </xf>
    <xf numFmtId="10" fontId="145" fillId="0" borderId="0" xfId="23" applyNumberFormat="1" applyFont="1" applyAlignment="1">
      <alignment horizontal="center" vertical="center"/>
    </xf>
    <xf numFmtId="41" fontId="145" fillId="0" borderId="0" xfId="1" applyFont="1">
      <alignment vertical="center"/>
    </xf>
    <xf numFmtId="41" fontId="145" fillId="0" borderId="0" xfId="23" applyNumberFormat="1" applyFont="1">
      <alignment vertical="center"/>
    </xf>
    <xf numFmtId="43" fontId="109" fillId="0" borderId="0" xfId="2" applyNumberFormat="1" applyFont="1">
      <alignment vertical="center"/>
    </xf>
    <xf numFmtId="0" fontId="154" fillId="2" borderId="0" xfId="4" applyFont="1" applyFill="1" applyBorder="1">
      <alignment vertical="center"/>
    </xf>
    <xf numFmtId="0" fontId="112" fillId="2" borderId="0" xfId="4" applyFont="1" applyFill="1" applyBorder="1" applyAlignment="1">
      <alignment horizontal="left" vertical="center" wrapText="1"/>
    </xf>
    <xf numFmtId="0" fontId="109" fillId="4" borderId="0" xfId="4" applyFont="1" applyFill="1">
      <alignment vertical="center"/>
    </xf>
    <xf numFmtId="0" fontId="181" fillId="2" borderId="0" xfId="4" applyFont="1" applyFill="1" applyBorder="1">
      <alignment vertical="center"/>
    </xf>
    <xf numFmtId="0" fontId="181" fillId="4" borderId="0" xfId="4" applyFont="1" applyFill="1" applyBorder="1">
      <alignment vertical="center"/>
    </xf>
    <xf numFmtId="0" fontId="116" fillId="4" borderId="0" xfId="4" applyFont="1" applyFill="1">
      <alignment vertical="center"/>
    </xf>
    <xf numFmtId="0" fontId="112" fillId="4" borderId="0" xfId="4" applyFont="1" applyFill="1">
      <alignment vertical="center"/>
    </xf>
    <xf numFmtId="0" fontId="154" fillId="4" borderId="0" xfId="4" applyFont="1" applyFill="1" applyAlignment="1">
      <alignment horizontal="right" vertical="center"/>
    </xf>
    <xf numFmtId="0" fontId="112" fillId="4" borderId="0" xfId="4" applyFont="1" applyFill="1" applyBorder="1" applyAlignment="1">
      <alignment horizontal="left" vertical="center" wrapText="1"/>
    </xf>
    <xf numFmtId="0" fontId="152" fillId="2" borderId="0" xfId="0" applyFont="1" applyFill="1" applyBorder="1" applyAlignment="1">
      <alignment horizontal="right" vertical="center"/>
    </xf>
    <xf numFmtId="203" fontId="109" fillId="4" borderId="0" xfId="4" applyNumberFormat="1" applyFont="1" applyFill="1">
      <alignment vertical="center"/>
    </xf>
    <xf numFmtId="0" fontId="109" fillId="4" borderId="0" xfId="4" applyFont="1" applyFill="1" applyBorder="1" applyAlignment="1">
      <alignment horizontal="left" vertical="center" wrapText="1"/>
    </xf>
    <xf numFmtId="0" fontId="165" fillId="4" borderId="0" xfId="4" applyFont="1" applyFill="1" applyBorder="1" applyAlignment="1">
      <alignment horizontal="left" vertical="center" wrapText="1"/>
    </xf>
    <xf numFmtId="0" fontId="165" fillId="4" borderId="0" xfId="4" applyFont="1" applyFill="1">
      <alignment vertical="center"/>
    </xf>
    <xf numFmtId="204" fontId="109" fillId="4" borderId="0" xfId="4" applyNumberFormat="1" applyFont="1" applyFill="1">
      <alignment vertical="center"/>
    </xf>
    <xf numFmtId="0" fontId="116" fillId="4" borderId="0" xfId="4" applyFont="1" applyFill="1" applyBorder="1" applyAlignment="1"/>
    <xf numFmtId="0" fontId="112" fillId="4" borderId="0" xfId="4" applyFont="1" applyFill="1" applyBorder="1" applyAlignment="1">
      <alignment horizontal="left" vertical="center"/>
    </xf>
    <xf numFmtId="204" fontId="112" fillId="4" borderId="0" xfId="4" applyNumberFormat="1" applyFont="1" applyFill="1">
      <alignment vertical="center"/>
    </xf>
    <xf numFmtId="9" fontId="112" fillId="4" borderId="0" xfId="4" applyNumberFormat="1" applyFont="1" applyFill="1">
      <alignment vertical="center"/>
    </xf>
    <xf numFmtId="9" fontId="112" fillId="4" borderId="0" xfId="2" applyNumberFormat="1" applyFont="1" applyFill="1">
      <alignment vertical="center"/>
    </xf>
    <xf numFmtId="0" fontId="114" fillId="0" borderId="0" xfId="4" applyFont="1">
      <alignment vertical="center"/>
    </xf>
    <xf numFmtId="0" fontId="109" fillId="4" borderId="35" xfId="4" applyFont="1" applyFill="1" applyBorder="1" applyAlignment="1">
      <alignment horizontal="center" vertical="center"/>
    </xf>
    <xf numFmtId="0" fontId="109" fillId="4" borderId="35" xfId="4" applyFont="1" applyFill="1" applyBorder="1" applyAlignment="1">
      <alignment horizontal="center" vertical="center"/>
    </xf>
    <xf numFmtId="0" fontId="109" fillId="4" borderId="186" xfId="4" applyFont="1" applyFill="1" applyBorder="1" applyAlignment="1">
      <alignment horizontal="center" vertical="center"/>
    </xf>
    <xf numFmtId="0" fontId="134" fillId="0" borderId="35" xfId="4" applyFont="1" applyBorder="1" applyAlignment="1">
      <alignment horizontal="center" vertical="center"/>
    </xf>
    <xf numFmtId="203" fontId="109" fillId="4" borderId="35" xfId="4" applyNumberFormat="1" applyFont="1" applyFill="1" applyBorder="1" applyAlignment="1">
      <alignment horizontal="center" vertical="center"/>
    </xf>
    <xf numFmtId="203" fontId="109" fillId="4" borderId="251" xfId="4" applyNumberFormat="1" applyFont="1" applyFill="1" applyBorder="1" applyAlignment="1">
      <alignment horizontal="center" vertical="center"/>
    </xf>
    <xf numFmtId="203" fontId="109" fillId="4" borderId="186" xfId="4" applyNumberFormat="1" applyFont="1" applyFill="1" applyBorder="1" applyAlignment="1">
      <alignment horizontal="center" vertical="center"/>
    </xf>
    <xf numFmtId="211" fontId="109" fillId="4" borderId="35" xfId="4" applyNumberFormat="1" applyFont="1" applyFill="1" applyBorder="1" applyAlignment="1">
      <alignment horizontal="center" vertical="center"/>
    </xf>
    <xf numFmtId="203" fontId="109" fillId="0" borderId="35" xfId="0" applyNumberFormat="1" applyFont="1" applyFill="1" applyBorder="1" applyAlignment="1" applyProtection="1">
      <alignment vertical="center"/>
    </xf>
    <xf numFmtId="0" fontId="134" fillId="4" borderId="35" xfId="4" applyFont="1" applyFill="1" applyBorder="1" applyAlignment="1">
      <alignment horizontal="center" vertical="center"/>
    </xf>
    <xf numFmtId="203" fontId="109" fillId="0" borderId="130" xfId="0" applyNumberFormat="1" applyFont="1" applyFill="1" applyBorder="1" applyAlignment="1" applyProtection="1">
      <alignment vertical="center"/>
    </xf>
    <xf numFmtId="0" fontId="134" fillId="4" borderId="130" xfId="4" applyFont="1" applyFill="1" applyBorder="1" applyAlignment="1">
      <alignment horizontal="center" vertical="center"/>
    </xf>
    <xf numFmtId="203" fontId="109" fillId="4" borderId="130" xfId="4" applyNumberFormat="1" applyFont="1" applyFill="1" applyBorder="1" applyAlignment="1">
      <alignment horizontal="center" vertical="center"/>
    </xf>
    <xf numFmtId="203" fontId="109" fillId="36" borderId="130" xfId="4" applyNumberFormat="1" applyFont="1" applyFill="1" applyBorder="1" applyAlignment="1">
      <alignment horizontal="center" vertical="center"/>
    </xf>
    <xf numFmtId="203" fontId="109" fillId="4" borderId="130" xfId="4" applyNumberFormat="1" applyFont="1" applyFill="1" applyBorder="1">
      <alignment vertical="center"/>
    </xf>
    <xf numFmtId="0" fontId="109" fillId="4" borderId="39" xfId="4" applyFont="1" applyFill="1" applyBorder="1" applyAlignment="1">
      <alignment horizontal="center" vertical="center"/>
    </xf>
    <xf numFmtId="203" fontId="109" fillId="4" borderId="40" xfId="4" applyNumberFormat="1" applyFont="1" applyFill="1" applyBorder="1">
      <alignment vertical="center"/>
    </xf>
    <xf numFmtId="203" fontId="109" fillId="2" borderId="40" xfId="4" applyNumberFormat="1" applyFont="1" applyFill="1" applyBorder="1">
      <alignment vertical="center"/>
    </xf>
    <xf numFmtId="41" fontId="109" fillId="4" borderId="0" xfId="1" applyFont="1" applyFill="1">
      <alignment vertical="center"/>
    </xf>
    <xf numFmtId="0" fontId="109" fillId="4" borderId="23" xfId="4" applyFont="1" applyFill="1" applyBorder="1" applyAlignment="1">
      <alignment horizontal="center" vertical="center"/>
    </xf>
    <xf numFmtId="0" fontId="112" fillId="4" borderId="187" xfId="4" applyFont="1" applyFill="1" applyBorder="1" applyAlignment="1">
      <alignment horizontal="center" vertical="center"/>
    </xf>
    <xf numFmtId="0" fontId="109" fillId="4" borderId="114" xfId="4" applyFont="1" applyFill="1" applyBorder="1" applyAlignment="1">
      <alignment horizontal="center" vertical="center"/>
    </xf>
    <xf numFmtId="0" fontId="112" fillId="4" borderId="75" xfId="4" applyFont="1" applyFill="1" applyBorder="1" applyAlignment="1">
      <alignment horizontal="center" vertical="center"/>
    </xf>
    <xf numFmtId="0" fontId="109" fillId="4" borderId="187" xfId="4" applyFont="1" applyFill="1" applyBorder="1" applyAlignment="1">
      <alignment horizontal="center" vertical="center"/>
    </xf>
    <xf numFmtId="0" fontId="109" fillId="4" borderId="75" xfId="4" applyFont="1" applyFill="1" applyBorder="1" applyAlignment="1">
      <alignment horizontal="center" vertical="center"/>
    </xf>
    <xf numFmtId="0" fontId="109" fillId="4" borderId="24" xfId="4" applyFont="1" applyFill="1" applyBorder="1" applyAlignment="1">
      <alignment horizontal="center" vertical="center"/>
    </xf>
    <xf numFmtId="0" fontId="114" fillId="4" borderId="35" xfId="4" applyFont="1" applyFill="1" applyBorder="1" applyAlignment="1">
      <alignment horizontal="center" vertical="center"/>
    </xf>
    <xf numFmtId="213" fontId="109" fillId="0" borderId="35" xfId="0" applyNumberFormat="1" applyFont="1" applyFill="1" applyBorder="1" applyAlignment="1" applyProtection="1">
      <alignment horizontal="center" vertical="center"/>
    </xf>
    <xf numFmtId="203" fontId="109" fillId="0" borderId="23" xfId="0" applyNumberFormat="1" applyFont="1" applyFill="1" applyBorder="1" applyAlignment="1" applyProtection="1">
      <alignment horizontal="center" vertical="center"/>
    </xf>
    <xf numFmtId="203" fontId="109" fillId="36" borderId="243" xfId="0" applyNumberFormat="1" applyFont="1" applyFill="1" applyBorder="1" applyAlignment="1" applyProtection="1">
      <alignment horizontal="center" vertical="center"/>
    </xf>
    <xf numFmtId="203" fontId="109" fillId="0" borderId="114" xfId="0" applyNumberFormat="1" applyFont="1" applyFill="1" applyBorder="1" applyAlignment="1" applyProtection="1">
      <alignment horizontal="center" vertical="center"/>
    </xf>
    <xf numFmtId="203" fontId="109" fillId="36" borderId="46" xfId="0" applyNumberFormat="1" applyFont="1" applyFill="1" applyBorder="1" applyAlignment="1" applyProtection="1">
      <alignment horizontal="center" vertical="center"/>
    </xf>
    <xf numFmtId="203" fontId="109" fillId="0" borderId="188" xfId="0" applyNumberFormat="1" applyFont="1" applyFill="1" applyBorder="1" applyAlignment="1" applyProtection="1">
      <alignment horizontal="center" vertical="center"/>
    </xf>
    <xf numFmtId="203" fontId="109" fillId="36" borderId="188" xfId="0" applyNumberFormat="1" applyFont="1" applyFill="1" applyBorder="1" applyAlignment="1" applyProtection="1">
      <alignment horizontal="center" vertical="center"/>
    </xf>
    <xf numFmtId="203" fontId="109" fillId="36" borderId="35" xfId="0" applyNumberFormat="1" applyFont="1" applyFill="1" applyBorder="1" applyAlignment="1" applyProtection="1">
      <alignment horizontal="center" vertical="center"/>
    </xf>
    <xf numFmtId="203" fontId="109" fillId="0" borderId="35" xfId="0" applyNumberFormat="1" applyFont="1" applyFill="1" applyBorder="1" applyAlignment="1" applyProtection="1">
      <alignment horizontal="center" vertical="center"/>
    </xf>
    <xf numFmtId="203" fontId="109" fillId="0" borderId="24" xfId="0" applyNumberFormat="1" applyFont="1" applyFill="1" applyBorder="1" applyAlignment="1" applyProtection="1">
      <alignment horizontal="center" vertical="center"/>
    </xf>
    <xf numFmtId="0" fontId="153" fillId="2" borderId="35" xfId="0" applyFont="1" applyFill="1" applyBorder="1" applyAlignment="1">
      <alignment horizontal="left" vertical="center"/>
    </xf>
    <xf numFmtId="205" fontId="109" fillId="0" borderId="23" xfId="1" applyNumberFormat="1" applyFont="1" applyFill="1" applyBorder="1" applyAlignment="1" applyProtection="1">
      <alignment horizontal="center" vertical="center"/>
    </xf>
    <xf numFmtId="205" fontId="109" fillId="0" borderId="243" xfId="1" applyNumberFormat="1" applyFont="1" applyFill="1" applyBorder="1" applyAlignment="1" applyProtection="1">
      <alignment horizontal="center" vertical="center"/>
    </xf>
    <xf numFmtId="205" fontId="109" fillId="0" borderId="114" xfId="1" applyNumberFormat="1" applyFont="1" applyFill="1" applyBorder="1" applyAlignment="1" applyProtection="1">
      <alignment horizontal="center" vertical="center"/>
    </xf>
    <xf numFmtId="203" fontId="109" fillId="0" borderId="46" xfId="1" applyNumberFormat="1" applyFont="1" applyFill="1" applyBorder="1" applyAlignment="1" applyProtection="1">
      <alignment horizontal="center" vertical="center"/>
    </xf>
    <xf numFmtId="205" fontId="109" fillId="0" borderId="188" xfId="1" applyNumberFormat="1" applyFont="1" applyFill="1" applyBorder="1" applyAlignment="1" applyProtection="1">
      <alignment horizontal="center" vertical="center"/>
    </xf>
    <xf numFmtId="203" fontId="109" fillId="0" borderId="188" xfId="1" applyNumberFormat="1" applyFont="1" applyFill="1" applyBorder="1" applyAlignment="1" applyProtection="1">
      <alignment horizontal="center" vertical="center"/>
    </xf>
    <xf numFmtId="203" fontId="109" fillId="0" borderId="35" xfId="1" applyNumberFormat="1" applyFont="1" applyFill="1" applyBorder="1" applyAlignment="1" applyProtection="1">
      <alignment horizontal="center" vertical="center"/>
    </xf>
    <xf numFmtId="205" fontId="109" fillId="0" borderId="35" xfId="1" applyNumberFormat="1" applyFont="1" applyFill="1" applyBorder="1" applyAlignment="1" applyProtection="1">
      <alignment horizontal="center" vertical="center"/>
    </xf>
    <xf numFmtId="203" fontId="109" fillId="0" borderId="131" xfId="1" applyNumberFormat="1" applyFont="1" applyFill="1" applyBorder="1" applyAlignment="1" applyProtection="1">
      <alignment horizontal="center" vertical="center"/>
    </xf>
    <xf numFmtId="205" fontId="109" fillId="2" borderId="23" xfId="1" applyNumberFormat="1" applyFont="1" applyFill="1" applyBorder="1" applyAlignment="1" applyProtection="1">
      <alignment horizontal="center" vertical="center"/>
    </xf>
    <xf numFmtId="203" fontId="109" fillId="0" borderId="23" xfId="0" applyNumberFormat="1" applyFont="1" applyFill="1" applyBorder="1" applyAlignment="1" applyProtection="1">
      <alignment vertical="center"/>
    </xf>
    <xf numFmtId="203" fontId="109" fillId="2" borderId="35" xfId="0" applyNumberFormat="1" applyFont="1" applyFill="1" applyBorder="1" applyAlignment="1" applyProtection="1">
      <alignment horizontal="center" vertical="center"/>
    </xf>
    <xf numFmtId="203" fontId="109" fillId="2" borderId="35" xfId="0" applyNumberFormat="1" applyFont="1" applyFill="1" applyBorder="1" applyAlignment="1" applyProtection="1">
      <alignment vertical="center"/>
    </xf>
    <xf numFmtId="203" fontId="109" fillId="0" borderId="46" xfId="0" applyNumberFormat="1" applyFont="1" applyFill="1" applyBorder="1" applyAlignment="1" applyProtection="1">
      <alignment horizontal="center" vertical="center"/>
    </xf>
    <xf numFmtId="203" fontId="109" fillId="2" borderId="23" xfId="0" applyNumberFormat="1" applyFont="1" applyFill="1" applyBorder="1" applyAlignment="1" applyProtection="1">
      <alignment horizontal="center" vertical="center"/>
    </xf>
    <xf numFmtId="0" fontId="134" fillId="2" borderId="35" xfId="4" applyFont="1" applyFill="1" applyBorder="1">
      <alignment vertical="center"/>
    </xf>
    <xf numFmtId="0" fontId="134" fillId="4" borderId="0" xfId="4" applyFont="1" applyFill="1" applyAlignment="1">
      <alignment horizontal="left" vertical="center"/>
    </xf>
    <xf numFmtId="0" fontId="134" fillId="2" borderId="35" xfId="0" applyFont="1" applyFill="1" applyBorder="1" applyAlignment="1">
      <alignment horizontal="left" vertical="center"/>
    </xf>
    <xf numFmtId="0" fontId="153" fillId="24" borderId="35" xfId="0" applyFont="1" applyFill="1" applyBorder="1" applyAlignment="1">
      <alignment horizontal="left" vertical="center"/>
    </xf>
    <xf numFmtId="205" fontId="109" fillId="12" borderId="23" xfId="1" applyNumberFormat="1" applyFont="1" applyFill="1" applyBorder="1" applyAlignment="1" applyProtection="1">
      <alignment horizontal="center" vertical="center"/>
    </xf>
    <xf numFmtId="0" fontId="153" fillId="2" borderId="130" xfId="0" applyFont="1" applyFill="1" applyBorder="1" applyAlignment="1">
      <alignment horizontal="left" vertical="center"/>
    </xf>
    <xf numFmtId="0" fontId="164" fillId="4" borderId="0" xfId="4" applyFont="1" applyFill="1">
      <alignment vertical="center"/>
    </xf>
    <xf numFmtId="0" fontId="134" fillId="4" borderId="0" xfId="4" applyFont="1" applyFill="1">
      <alignment vertical="center"/>
    </xf>
    <xf numFmtId="0" fontId="153" fillId="4" borderId="0" xfId="4" applyFont="1" applyFill="1" applyAlignment="1">
      <alignment horizontal="right" vertical="center"/>
    </xf>
    <xf numFmtId="0" fontId="135" fillId="2" borderId="35" xfId="0" applyFont="1" applyFill="1" applyBorder="1" applyAlignment="1">
      <alignment horizontal="left" vertical="center"/>
    </xf>
    <xf numFmtId="205" fontId="115" fillId="0" borderId="23" xfId="1" applyNumberFormat="1" applyFont="1" applyFill="1" applyBorder="1" applyAlignment="1" applyProtection="1">
      <alignment horizontal="center" vertical="center"/>
    </xf>
    <xf numFmtId="203" fontId="115" fillId="0" borderId="243" xfId="1" applyNumberFormat="1" applyFont="1" applyFill="1" applyBorder="1" applyAlignment="1" applyProtection="1">
      <alignment horizontal="center" vertical="center"/>
    </xf>
    <xf numFmtId="205" fontId="115" fillId="0" borderId="114" xfId="1" applyNumberFormat="1" applyFont="1" applyFill="1" applyBorder="1" applyAlignment="1" applyProtection="1">
      <alignment horizontal="center" vertical="center"/>
    </xf>
    <xf numFmtId="203" fontId="115" fillId="0" borderId="46" xfId="1" applyNumberFormat="1" applyFont="1" applyFill="1" applyBorder="1" applyAlignment="1" applyProtection="1">
      <alignment horizontal="center" vertical="center"/>
    </xf>
    <xf numFmtId="205" fontId="115" fillId="0" borderId="188" xfId="1" applyNumberFormat="1" applyFont="1" applyFill="1" applyBorder="1" applyAlignment="1" applyProtection="1">
      <alignment horizontal="center" vertical="center"/>
    </xf>
    <xf numFmtId="203" fontId="115" fillId="0" borderId="188" xfId="1" applyNumberFormat="1" applyFont="1" applyFill="1" applyBorder="1" applyAlignment="1" applyProtection="1">
      <alignment horizontal="center" vertical="center"/>
    </xf>
    <xf numFmtId="203" fontId="115" fillId="0" borderId="114" xfId="0" applyNumberFormat="1" applyFont="1" applyFill="1" applyBorder="1" applyAlignment="1" applyProtection="1">
      <alignment horizontal="center" vertical="center"/>
    </xf>
    <xf numFmtId="0" fontId="166" fillId="4" borderId="0" xfId="4" applyFont="1" applyFill="1">
      <alignment vertical="center"/>
    </xf>
    <xf numFmtId="0" fontId="165" fillId="0" borderId="0" xfId="4" applyFont="1">
      <alignment vertical="center"/>
    </xf>
    <xf numFmtId="0" fontId="134" fillId="2" borderId="131" xfId="0" applyFont="1" applyFill="1" applyBorder="1" applyAlignment="1">
      <alignment horizontal="left" vertical="center"/>
    </xf>
    <xf numFmtId="205" fontId="165" fillId="0" borderId="23" xfId="1" applyNumberFormat="1" applyFont="1" applyFill="1" applyBorder="1" applyAlignment="1" applyProtection="1">
      <alignment horizontal="center" vertical="center"/>
    </xf>
    <xf numFmtId="205" fontId="165" fillId="0" borderId="243" xfId="1" applyNumberFormat="1" applyFont="1" applyFill="1" applyBorder="1" applyAlignment="1" applyProtection="1">
      <alignment horizontal="center" vertical="center"/>
    </xf>
    <xf numFmtId="205" fontId="165" fillId="0" borderId="114" xfId="1" applyNumberFormat="1" applyFont="1" applyFill="1" applyBorder="1" applyAlignment="1" applyProtection="1">
      <alignment horizontal="right" vertical="center"/>
    </xf>
    <xf numFmtId="203" fontId="167" fillId="0" borderId="46" xfId="1" applyNumberFormat="1" applyFont="1" applyFill="1" applyBorder="1" applyAlignment="1" applyProtection="1">
      <alignment horizontal="right" vertical="center"/>
    </xf>
    <xf numFmtId="205" fontId="165" fillId="0" borderId="188" xfId="1" applyNumberFormat="1" applyFont="1" applyFill="1" applyBorder="1" applyAlignment="1" applyProtection="1">
      <alignment horizontal="right" vertical="center"/>
    </xf>
    <xf numFmtId="203" fontId="167" fillId="0" borderId="188" xfId="1" applyNumberFormat="1" applyFont="1" applyFill="1" applyBorder="1" applyAlignment="1" applyProtection="1">
      <alignment horizontal="right" vertical="center"/>
    </xf>
    <xf numFmtId="203" fontId="165" fillId="0" borderId="46" xfId="1" applyNumberFormat="1" applyFont="1" applyFill="1" applyBorder="1" applyAlignment="1" applyProtection="1">
      <alignment horizontal="right" vertical="center"/>
    </xf>
    <xf numFmtId="203" fontId="165" fillId="0" borderId="35" xfId="1" applyNumberFormat="1" applyFont="1" applyFill="1" applyBorder="1" applyAlignment="1" applyProtection="1">
      <alignment horizontal="right" vertical="center"/>
    </xf>
    <xf numFmtId="205" fontId="165" fillId="0" borderId="35" xfId="1" applyNumberFormat="1" applyFont="1" applyFill="1" applyBorder="1" applyAlignment="1" applyProtection="1">
      <alignment horizontal="right" vertical="center"/>
    </xf>
    <xf numFmtId="205" fontId="165" fillId="0" borderId="23" xfId="1" applyNumberFormat="1" applyFont="1" applyFill="1" applyBorder="1" applyAlignment="1" applyProtection="1">
      <alignment horizontal="right" vertical="center"/>
    </xf>
    <xf numFmtId="203" fontId="165" fillId="0" borderId="23" xfId="0" applyNumberFormat="1" applyFont="1" applyFill="1" applyBorder="1" applyAlignment="1" applyProtection="1">
      <alignment horizontal="center" vertical="center"/>
    </xf>
    <xf numFmtId="203" fontId="165" fillId="0" borderId="23" xfId="0" applyNumberFormat="1" applyFont="1" applyFill="1" applyBorder="1" applyAlignment="1" applyProtection="1">
      <alignment vertical="center"/>
    </xf>
    <xf numFmtId="203" fontId="165" fillId="0" borderId="35" xfId="0" applyNumberFormat="1" applyFont="1" applyFill="1" applyBorder="1" applyAlignment="1" applyProtection="1">
      <alignment horizontal="center" vertical="center"/>
    </xf>
    <xf numFmtId="203" fontId="165" fillId="2" borderId="35" xfId="0" applyNumberFormat="1" applyFont="1" applyFill="1" applyBorder="1" applyAlignment="1" applyProtection="1">
      <alignment horizontal="center" vertical="center"/>
    </xf>
    <xf numFmtId="203" fontId="165" fillId="2" borderId="35" xfId="0" applyNumberFormat="1" applyFont="1" applyFill="1" applyBorder="1" applyAlignment="1" applyProtection="1">
      <alignment vertical="center"/>
    </xf>
    <xf numFmtId="205" fontId="165" fillId="0" borderId="114" xfId="1" applyNumberFormat="1" applyFont="1" applyFill="1" applyBorder="1" applyAlignment="1" applyProtection="1">
      <alignment horizontal="center" vertical="center"/>
    </xf>
    <xf numFmtId="203" fontId="165" fillId="0" borderId="46" xfId="1" applyNumberFormat="1" applyFont="1" applyFill="1" applyBorder="1" applyAlignment="1" applyProtection="1">
      <alignment horizontal="center" vertical="center"/>
    </xf>
    <xf numFmtId="205" fontId="165" fillId="0" borderId="188" xfId="1" applyNumberFormat="1" applyFont="1" applyFill="1" applyBorder="1" applyAlignment="1" applyProtection="1">
      <alignment horizontal="center" vertical="center"/>
    </xf>
    <xf numFmtId="203" fontId="165" fillId="0" borderId="188" xfId="1" applyNumberFormat="1" applyFont="1" applyFill="1" applyBorder="1" applyAlignment="1" applyProtection="1">
      <alignment horizontal="center" vertical="center"/>
    </xf>
    <xf numFmtId="203" fontId="165" fillId="0" borderId="35" xfId="1" applyNumberFormat="1" applyFont="1" applyFill="1" applyBorder="1" applyAlignment="1" applyProtection="1">
      <alignment horizontal="center" vertical="center"/>
    </xf>
    <xf numFmtId="205" fontId="165" fillId="0" borderId="35" xfId="1" applyNumberFormat="1" applyFont="1" applyFill="1" applyBorder="1" applyAlignment="1" applyProtection="1">
      <alignment horizontal="center" vertical="center"/>
    </xf>
    <xf numFmtId="0" fontId="134" fillId="0" borderId="35" xfId="0" applyFont="1" applyFill="1" applyBorder="1" applyAlignment="1">
      <alignment horizontal="left" vertical="center"/>
    </xf>
    <xf numFmtId="203" fontId="167" fillId="0" borderId="46" xfId="1" applyNumberFormat="1" applyFont="1" applyFill="1" applyBorder="1" applyAlignment="1" applyProtection="1">
      <alignment horizontal="center" vertical="center"/>
    </xf>
    <xf numFmtId="203" fontId="167" fillId="0" borderId="188" xfId="1" applyNumberFormat="1" applyFont="1" applyFill="1" applyBorder="1" applyAlignment="1" applyProtection="1">
      <alignment horizontal="center" vertical="center"/>
    </xf>
    <xf numFmtId="0" fontId="166" fillId="0" borderId="35" xfId="0" applyFont="1" applyFill="1" applyBorder="1" applyAlignment="1">
      <alignment horizontal="left" vertical="center"/>
    </xf>
    <xf numFmtId="203" fontId="165" fillId="0" borderId="46" xfId="0" applyNumberFormat="1" applyFont="1" applyFill="1" applyBorder="1" applyAlignment="1" applyProtection="1">
      <alignment horizontal="center" vertical="center"/>
    </xf>
    <xf numFmtId="203" fontId="165" fillId="0" borderId="114" xfId="0" applyNumberFormat="1" applyFont="1" applyFill="1" applyBorder="1" applyAlignment="1" applyProtection="1">
      <alignment horizontal="center" vertical="center"/>
    </xf>
    <xf numFmtId="203" fontId="165" fillId="0" borderId="188" xfId="0" applyNumberFormat="1" applyFont="1" applyFill="1" applyBorder="1" applyAlignment="1" applyProtection="1">
      <alignment horizontal="center" vertical="center"/>
    </xf>
    <xf numFmtId="0" fontId="153" fillId="0" borderId="35" xfId="0" applyFont="1" applyFill="1" applyBorder="1" applyAlignment="1">
      <alignment horizontal="left" vertical="center"/>
    </xf>
    <xf numFmtId="203" fontId="109" fillId="0" borderId="243" xfId="1" applyNumberFormat="1" applyFont="1" applyFill="1" applyBorder="1" applyAlignment="1" applyProtection="1">
      <alignment horizontal="center" vertical="center"/>
    </xf>
    <xf numFmtId="0" fontId="166" fillId="0" borderId="35" xfId="0" applyFont="1" applyFill="1" applyBorder="1" applyAlignment="1">
      <alignment vertical="center"/>
    </xf>
    <xf numFmtId="203" fontId="165" fillId="9" borderId="35" xfId="0" applyNumberFormat="1" applyFont="1" applyFill="1" applyBorder="1" applyAlignment="1" applyProtection="1">
      <alignment horizontal="center" vertical="center"/>
    </xf>
    <xf numFmtId="0" fontId="109" fillId="0" borderId="0" xfId="4" applyFont="1" applyAlignment="1">
      <alignment horizontal="right" vertical="center"/>
    </xf>
    <xf numFmtId="203" fontId="165" fillId="20" borderId="35" xfId="0" applyNumberFormat="1" applyFont="1" applyFill="1" applyBorder="1" applyAlignment="1">
      <alignment vertical="center"/>
    </xf>
    <xf numFmtId="0" fontId="109" fillId="25" borderId="35" xfId="0" applyFont="1" applyFill="1" applyBorder="1" applyAlignment="1">
      <alignment vertical="center" shrinkToFit="1"/>
    </xf>
    <xf numFmtId="203" fontId="109" fillId="0" borderId="243" xfId="0" applyNumberFormat="1" applyFont="1" applyFill="1" applyBorder="1" applyAlignment="1" applyProtection="1">
      <alignment vertical="center"/>
    </xf>
    <xf numFmtId="203" fontId="109" fillId="0" borderId="114" xfId="0" applyNumberFormat="1" applyFont="1" applyFill="1" applyBorder="1" applyAlignment="1" applyProtection="1">
      <alignment vertical="center"/>
    </xf>
    <xf numFmtId="203" fontId="109" fillId="0" borderId="46" xfId="0" applyNumberFormat="1" applyFont="1" applyFill="1" applyBorder="1" applyAlignment="1" applyProtection="1">
      <alignment vertical="center"/>
    </xf>
    <xf numFmtId="203" fontId="109" fillId="0" borderId="188" xfId="0" applyNumberFormat="1" applyFont="1" applyFill="1" applyBorder="1" applyAlignment="1" applyProtection="1">
      <alignment vertical="center"/>
    </xf>
    <xf numFmtId="214" fontId="109" fillId="0" borderId="35" xfId="0" applyNumberFormat="1" applyFont="1" applyFill="1" applyBorder="1" applyAlignment="1" applyProtection="1">
      <alignment vertical="center"/>
    </xf>
    <xf numFmtId="209" fontId="109" fillId="0" borderId="35" xfId="0" applyNumberFormat="1" applyFont="1" applyFill="1" applyBorder="1" applyAlignment="1" applyProtection="1">
      <alignment vertical="center"/>
    </xf>
    <xf numFmtId="203" fontId="109" fillId="26" borderId="35" xfId="0" applyNumberFormat="1" applyFont="1" applyFill="1" applyBorder="1" applyAlignment="1" applyProtection="1">
      <alignment horizontal="center" vertical="center"/>
    </xf>
    <xf numFmtId="203" fontId="109" fillId="25" borderId="35" xfId="0" applyNumberFormat="1" applyFont="1" applyFill="1" applyBorder="1" applyAlignment="1">
      <alignment vertical="center" shrinkToFit="1"/>
    </xf>
    <xf numFmtId="41" fontId="165" fillId="0" borderId="0" xfId="1" applyFont="1">
      <alignment vertical="center"/>
    </xf>
    <xf numFmtId="0" fontId="134" fillId="0" borderId="35" xfId="0" applyFont="1" applyFill="1" applyBorder="1" applyAlignment="1">
      <alignment horizontal="left" vertical="center" shrinkToFit="1"/>
    </xf>
    <xf numFmtId="203" fontId="109" fillId="4" borderId="35" xfId="4" applyNumberFormat="1" applyFont="1" applyFill="1" applyBorder="1" applyAlignment="1">
      <alignment horizontal="right" vertical="center"/>
    </xf>
    <xf numFmtId="0" fontId="114" fillId="4" borderId="35" xfId="4" applyFont="1" applyFill="1" applyBorder="1">
      <alignment vertical="center"/>
    </xf>
    <xf numFmtId="203" fontId="109" fillId="0" borderId="244" xfId="4" applyNumberFormat="1" applyFont="1" applyFill="1" applyBorder="1" applyAlignment="1">
      <alignment horizontal="right" vertical="center"/>
    </xf>
    <xf numFmtId="203" fontId="109" fillId="4" borderId="114" xfId="4" applyNumberFormat="1" applyFont="1" applyFill="1" applyBorder="1" applyAlignment="1">
      <alignment horizontal="right" vertical="center"/>
    </xf>
    <xf numFmtId="203" fontId="109" fillId="0" borderId="49" xfId="4" applyNumberFormat="1" applyFont="1" applyFill="1" applyBorder="1" applyAlignment="1">
      <alignment horizontal="right" vertical="center"/>
    </xf>
    <xf numFmtId="203" fontId="109" fillId="4" borderId="189" xfId="4" applyNumberFormat="1" applyFont="1" applyFill="1" applyBorder="1" applyAlignment="1">
      <alignment horizontal="right" vertical="center"/>
    </xf>
    <xf numFmtId="203" fontId="109" fillId="0" borderId="189" xfId="4" applyNumberFormat="1" applyFont="1" applyFill="1" applyBorder="1" applyAlignment="1">
      <alignment horizontal="right" vertical="center"/>
    </xf>
    <xf numFmtId="203" fontId="109" fillId="0" borderId="35" xfId="4" applyNumberFormat="1" applyFont="1" applyFill="1" applyBorder="1" applyAlignment="1">
      <alignment horizontal="right" vertical="center"/>
    </xf>
    <xf numFmtId="203" fontId="109" fillId="4" borderId="24" xfId="4" applyNumberFormat="1" applyFont="1" applyFill="1" applyBorder="1" applyAlignment="1">
      <alignment horizontal="right" vertical="center"/>
    </xf>
    <xf numFmtId="203" fontId="109" fillId="4" borderId="35" xfId="4" applyNumberFormat="1" applyFont="1" applyFill="1" applyBorder="1">
      <alignment vertical="center"/>
    </xf>
    <xf numFmtId="3" fontId="109" fillId="4" borderId="0" xfId="4" applyNumberFormat="1" applyFont="1" applyFill="1">
      <alignment vertical="center"/>
    </xf>
    <xf numFmtId="41" fontId="109" fillId="4" borderId="0" xfId="1" applyNumberFormat="1" applyFont="1" applyFill="1">
      <alignment vertical="center"/>
    </xf>
    <xf numFmtId="183" fontId="109" fillId="0" borderId="0" xfId="4" applyNumberFormat="1" applyFont="1">
      <alignment vertical="center"/>
    </xf>
    <xf numFmtId="3" fontId="109" fillId="0" borderId="0" xfId="4" applyNumberFormat="1" applyFont="1">
      <alignment vertical="center"/>
    </xf>
    <xf numFmtId="209" fontId="109" fillId="0" borderId="0" xfId="4" applyNumberFormat="1" applyFont="1">
      <alignment vertical="center"/>
    </xf>
    <xf numFmtId="41" fontId="109" fillId="0" borderId="0" xfId="1" applyNumberFormat="1" applyFont="1">
      <alignment vertical="center"/>
    </xf>
    <xf numFmtId="203" fontId="109" fillId="0" borderId="0" xfId="4" applyNumberFormat="1" applyFont="1">
      <alignment vertical="center"/>
    </xf>
    <xf numFmtId="0" fontId="183" fillId="35" borderId="0" xfId="4" applyFont="1" applyFill="1">
      <alignment vertical="center"/>
    </xf>
    <xf numFmtId="0" fontId="154" fillId="35" borderId="0" xfId="4" applyFont="1" applyFill="1">
      <alignment vertical="center"/>
    </xf>
    <xf numFmtId="0" fontId="151" fillId="35" borderId="0" xfId="4" applyFont="1" applyFill="1" applyBorder="1" applyAlignment="1">
      <alignment vertical="center"/>
    </xf>
    <xf numFmtId="0" fontId="109" fillId="35" borderId="0" xfId="4" applyFont="1" applyFill="1" applyBorder="1">
      <alignment vertical="center"/>
    </xf>
    <xf numFmtId="0" fontId="154" fillId="0" borderId="0" xfId="4" applyFont="1" applyBorder="1">
      <alignment vertical="center"/>
    </xf>
    <xf numFmtId="0" fontId="154" fillId="0" borderId="0" xfId="4" applyFont="1">
      <alignment vertical="center"/>
    </xf>
    <xf numFmtId="0" fontId="184" fillId="0" borderId="0" xfId="4" applyFont="1">
      <alignment vertical="center"/>
    </xf>
    <xf numFmtId="0" fontId="154" fillId="0" borderId="0" xfId="4" applyFont="1" applyBorder="1" applyAlignment="1">
      <alignment horizontal="center" vertical="center"/>
    </xf>
    <xf numFmtId="0" fontId="154" fillId="0" borderId="59" xfId="4" applyFont="1" applyBorder="1">
      <alignment vertical="center"/>
    </xf>
    <xf numFmtId="0" fontId="154" fillId="0" borderId="59" xfId="4" applyFont="1" applyFill="1" applyBorder="1">
      <alignment vertical="center"/>
    </xf>
    <xf numFmtId="0" fontId="109" fillId="0" borderId="0" xfId="0" applyFont="1" applyAlignment="1"/>
    <xf numFmtId="0" fontId="109" fillId="2" borderId="0" xfId="4" applyFont="1" applyFill="1" applyBorder="1">
      <alignment vertical="center"/>
    </xf>
    <xf numFmtId="0" fontId="154" fillId="0" borderId="0" xfId="4" applyFont="1" applyFill="1" applyBorder="1">
      <alignment vertical="center"/>
    </xf>
    <xf numFmtId="0" fontId="154" fillId="0" borderId="60" xfId="4" applyFont="1" applyBorder="1">
      <alignment vertical="center"/>
    </xf>
    <xf numFmtId="0" fontId="154" fillId="0" borderId="61" xfId="4" applyFont="1" applyBorder="1">
      <alignment vertical="center"/>
    </xf>
    <xf numFmtId="41" fontId="154" fillId="0" borderId="0" xfId="27" applyFont="1" applyFill="1" applyBorder="1">
      <alignment vertical="center"/>
    </xf>
    <xf numFmtId="0" fontId="154" fillId="0" borderId="0" xfId="4" applyFont="1" applyFill="1" applyBorder="1" applyAlignment="1">
      <alignment horizontal="center" vertical="center"/>
    </xf>
    <xf numFmtId="0" fontId="187" fillId="2" borderId="0" xfId="4" applyFont="1" applyFill="1" applyBorder="1" applyAlignment="1">
      <alignment horizontal="center" vertical="center"/>
    </xf>
    <xf numFmtId="41" fontId="187" fillId="2" borderId="0" xfId="4" applyNumberFormat="1" applyFont="1" applyFill="1" applyBorder="1">
      <alignment vertical="center"/>
    </xf>
    <xf numFmtId="0" fontId="186" fillId="0" borderId="0" xfId="4" applyFont="1">
      <alignment vertical="center"/>
    </xf>
    <xf numFmtId="0" fontId="148" fillId="35" borderId="0" xfId="4" applyFont="1" applyFill="1">
      <alignment vertical="center"/>
    </xf>
    <xf numFmtId="188" fontId="112" fillId="2" borderId="0" xfId="34" applyNumberFormat="1" applyFont="1" applyFill="1" applyBorder="1" applyAlignment="1">
      <alignment vertical="center" shrinkToFit="1"/>
    </xf>
    <xf numFmtId="0" fontId="150" fillId="0" borderId="0" xfId="0" applyFont="1" applyBorder="1" applyAlignment="1">
      <alignment horizontal="right" vertical="center"/>
    </xf>
    <xf numFmtId="0" fontId="150" fillId="2" borderId="0" xfId="0" applyFont="1" applyFill="1" applyBorder="1" applyAlignment="1">
      <alignment horizontal="right" vertical="center"/>
    </xf>
    <xf numFmtId="0" fontId="150" fillId="2" borderId="0" xfId="3" applyFont="1" applyFill="1" applyBorder="1" applyAlignment="1">
      <alignment horizontal="center" vertical="center"/>
    </xf>
    <xf numFmtId="204" fontId="134" fillId="2" borderId="0" xfId="0" applyNumberFormat="1" applyFont="1" applyFill="1" applyBorder="1" applyAlignment="1" applyProtection="1">
      <alignment horizontal="center" vertical="center"/>
    </xf>
    <xf numFmtId="203" fontId="134" fillId="2" borderId="0" xfId="0" applyNumberFormat="1" applyFont="1" applyFill="1" applyBorder="1" applyAlignment="1" applyProtection="1">
      <alignment horizontal="center" vertical="center"/>
    </xf>
    <xf numFmtId="0" fontId="109" fillId="2" borderId="0" xfId="3" applyFont="1" applyFill="1">
      <alignment vertical="center"/>
    </xf>
    <xf numFmtId="203" fontId="153" fillId="2" borderId="0" xfId="0" applyNumberFormat="1" applyFont="1" applyFill="1" applyBorder="1" applyAlignment="1" applyProtection="1">
      <alignment horizontal="center" vertical="center"/>
    </xf>
    <xf numFmtId="203" fontId="166" fillId="2" borderId="0" xfId="0" applyNumberFormat="1" applyFont="1" applyFill="1" applyBorder="1" applyAlignment="1" applyProtection="1">
      <alignment horizontal="center" vertical="center"/>
    </xf>
    <xf numFmtId="203" fontId="166" fillId="2" borderId="0" xfId="0" applyNumberFormat="1" applyFont="1" applyFill="1" applyBorder="1" applyAlignment="1" applyProtection="1">
      <alignment vertical="center"/>
    </xf>
    <xf numFmtId="203" fontId="134" fillId="2" borderId="0" xfId="0" applyNumberFormat="1" applyFont="1" applyFill="1" applyBorder="1" applyAlignment="1" applyProtection="1">
      <alignment vertical="center"/>
    </xf>
    <xf numFmtId="41" fontId="145" fillId="2" borderId="0" xfId="5" applyFont="1" applyFill="1" applyBorder="1" applyAlignment="1">
      <alignment horizontal="left" vertical="center"/>
    </xf>
    <xf numFmtId="0" fontId="145" fillId="2" borderId="0" xfId="3" applyFont="1" applyFill="1" applyBorder="1" applyAlignment="1">
      <alignment horizontal="center" vertical="center"/>
    </xf>
    <xf numFmtId="207" fontId="145" fillId="2" borderId="0" xfId="5" applyNumberFormat="1" applyFont="1" applyFill="1" applyBorder="1" applyAlignment="1" applyProtection="1">
      <alignment horizontal="center" vertical="center" wrapText="1"/>
    </xf>
    <xf numFmtId="0" fontId="150" fillId="2" borderId="0" xfId="3" applyFont="1" applyFill="1" applyBorder="1" applyAlignment="1">
      <alignment horizontal="center" vertical="center" wrapText="1"/>
    </xf>
    <xf numFmtId="0" fontId="134" fillId="2" borderId="0" xfId="3" applyFont="1" applyFill="1" applyBorder="1" applyAlignment="1">
      <alignment horizontal="center" vertical="center"/>
    </xf>
    <xf numFmtId="0" fontId="166" fillId="2" borderId="0" xfId="3" applyFont="1" applyFill="1" applyBorder="1" applyAlignment="1">
      <alignment vertical="center"/>
    </xf>
    <xf numFmtId="0" fontId="165" fillId="2" borderId="0" xfId="3" applyFont="1" applyFill="1">
      <alignment vertical="center"/>
    </xf>
    <xf numFmtId="0" fontId="166" fillId="2" borderId="0" xfId="3" applyFont="1" applyFill="1" applyBorder="1" applyAlignment="1">
      <alignment horizontal="center" vertical="center"/>
    </xf>
    <xf numFmtId="41" fontId="134" fillId="2" borderId="0" xfId="1" applyFont="1" applyFill="1" applyBorder="1" applyAlignment="1">
      <alignment horizontal="center" vertical="center"/>
    </xf>
    <xf numFmtId="41" fontId="145" fillId="2" borderId="0" xfId="3" applyNumberFormat="1" applyFont="1" applyFill="1" applyBorder="1" applyAlignment="1">
      <alignment horizontal="center" vertical="center"/>
    </xf>
    <xf numFmtId="0" fontId="145" fillId="2" borderId="0" xfId="3" applyFont="1" applyFill="1" applyAlignment="1">
      <alignment horizontal="right" vertical="center"/>
    </xf>
    <xf numFmtId="41" fontId="153" fillId="2" borderId="0" xfId="34" applyFont="1" applyFill="1" applyBorder="1" applyAlignment="1">
      <alignment horizontal="center" vertical="center" shrinkToFit="1"/>
    </xf>
    <xf numFmtId="49" fontId="112" fillId="2" borderId="0" xfId="34" applyNumberFormat="1" applyFont="1" applyFill="1" applyBorder="1" applyAlignment="1">
      <alignment horizontal="center" vertical="center" shrinkToFit="1"/>
    </xf>
    <xf numFmtId="0" fontId="153" fillId="2" borderId="0" xfId="1" applyNumberFormat="1" applyFont="1" applyFill="1" applyBorder="1" applyAlignment="1" applyProtection="1">
      <alignment horizontal="center" vertical="center" shrinkToFit="1"/>
      <protection locked="0"/>
    </xf>
    <xf numFmtId="207" fontId="153" fillId="2" borderId="0" xfId="5" applyNumberFormat="1" applyFont="1" applyFill="1" applyBorder="1" applyAlignment="1" applyProtection="1">
      <alignment horizontal="center" vertical="center" shrinkToFit="1"/>
      <protection locked="0"/>
    </xf>
    <xf numFmtId="41" fontId="112" fillId="2" borderId="0" xfId="34" applyFont="1" applyFill="1" applyBorder="1" applyAlignment="1" applyProtection="1">
      <alignment horizontal="center" vertical="center" shrinkToFit="1"/>
    </xf>
    <xf numFmtId="207" fontId="112" fillId="2" borderId="0" xfId="5" applyNumberFormat="1" applyFont="1" applyFill="1" applyBorder="1" applyAlignment="1" applyProtection="1">
      <alignment horizontal="right" vertical="center" shrinkToFit="1"/>
      <protection locked="0"/>
    </xf>
    <xf numFmtId="41" fontId="112" fillId="2" borderId="0" xfId="5" applyFont="1" applyFill="1" applyBorder="1" applyAlignment="1" applyProtection="1">
      <alignment horizontal="left" vertical="center" shrinkToFit="1"/>
      <protection locked="0"/>
    </xf>
    <xf numFmtId="207" fontId="153" fillId="2" borderId="0" xfId="5" quotePrefix="1" applyNumberFormat="1" applyFont="1" applyFill="1" applyBorder="1" applyAlignment="1">
      <alignment horizontal="center" vertical="center" shrinkToFit="1"/>
    </xf>
    <xf numFmtId="181" fontId="112" fillId="2" borderId="0" xfId="34" applyNumberFormat="1" applyFont="1" applyFill="1" applyBorder="1" applyAlignment="1">
      <alignment horizontal="center" vertical="center" shrinkToFit="1"/>
    </xf>
    <xf numFmtId="207" fontId="118" fillId="2" borderId="0" xfId="5" quotePrefix="1" applyNumberFormat="1" applyFont="1" applyFill="1" applyBorder="1" applyAlignment="1">
      <alignment horizontal="center" vertical="center" shrinkToFit="1"/>
    </xf>
    <xf numFmtId="207" fontId="154" fillId="2" borderId="0" xfId="5" quotePrefix="1" applyNumberFormat="1" applyFont="1" applyFill="1" applyBorder="1" applyAlignment="1">
      <alignment horizontal="center" vertical="center" shrinkToFit="1"/>
    </xf>
    <xf numFmtId="207" fontId="145" fillId="2" borderId="0" xfId="3" applyNumberFormat="1" applyFont="1" applyFill="1">
      <alignment vertical="center"/>
    </xf>
    <xf numFmtId="41" fontId="145" fillId="2" borderId="0" xfId="1" applyFont="1" applyFill="1">
      <alignment vertical="center"/>
    </xf>
    <xf numFmtId="41" fontId="145" fillId="2" borderId="0" xfId="3" applyNumberFormat="1" applyFont="1" applyFill="1">
      <alignment vertical="center"/>
    </xf>
    <xf numFmtId="210" fontId="153" fillId="2" borderId="0" xfId="5" quotePrefix="1" applyNumberFormat="1" applyFont="1" applyFill="1" applyBorder="1" applyAlignment="1">
      <alignment horizontal="center" vertical="center" shrinkToFit="1"/>
    </xf>
    <xf numFmtId="210" fontId="145" fillId="2" borderId="0" xfId="3" applyNumberFormat="1" applyFont="1" applyFill="1">
      <alignment vertical="center"/>
    </xf>
    <xf numFmtId="41" fontId="145" fillId="2" borderId="0" xfId="1" applyFont="1" applyFill="1" applyAlignment="1">
      <alignment horizontal="center" vertical="center"/>
    </xf>
    <xf numFmtId="0" fontId="141" fillId="35" borderId="0" xfId="3" applyFont="1" applyFill="1" applyAlignment="1">
      <alignment vertical="center"/>
    </xf>
    <xf numFmtId="0" fontId="141" fillId="2" borderId="0" xfId="3" applyFont="1" applyFill="1" applyAlignment="1">
      <alignment vertical="center"/>
    </xf>
    <xf numFmtId="188" fontId="148" fillId="2" borderId="0" xfId="34" applyNumberFormat="1" applyFont="1" applyFill="1" applyBorder="1" applyAlignment="1">
      <alignment vertical="center" shrinkToFit="1"/>
    </xf>
    <xf numFmtId="0" fontId="149" fillId="0" borderId="0" xfId="3" applyFont="1" applyAlignment="1">
      <alignment vertical="center"/>
    </xf>
    <xf numFmtId="0" fontId="189" fillId="0" borderId="0" xfId="0" applyFont="1"/>
    <xf numFmtId="0" fontId="192" fillId="0" borderId="0" xfId="3" applyFont="1" applyAlignment="1">
      <alignment vertical="center"/>
    </xf>
    <xf numFmtId="41" fontId="193" fillId="0" borderId="0" xfId="5" applyFont="1" applyAlignment="1">
      <alignment vertical="center"/>
    </xf>
    <xf numFmtId="186" fontId="149" fillId="0" borderId="0" xfId="3" applyNumberFormat="1" applyFont="1" applyAlignment="1">
      <alignment vertical="center"/>
    </xf>
    <xf numFmtId="41" fontId="191" fillId="0" borderId="0" xfId="5" applyFont="1" applyAlignment="1">
      <alignment vertical="center"/>
    </xf>
    <xf numFmtId="0" fontId="149" fillId="0" borderId="0" xfId="3" applyFont="1" applyAlignment="1"/>
    <xf numFmtId="0" fontId="149" fillId="0" borderId="0" xfId="3" applyFont="1" applyBorder="1" applyAlignment="1"/>
    <xf numFmtId="41" fontId="149" fillId="0" borderId="0" xfId="1" applyFont="1" applyAlignment="1"/>
    <xf numFmtId="0" fontId="194" fillId="0" borderId="0" xfId="3" applyFont="1" applyAlignment="1">
      <alignment vertical="center" shrinkToFit="1"/>
    </xf>
    <xf numFmtId="41" fontId="194" fillId="0" borderId="0" xfId="1" applyFont="1" applyAlignment="1">
      <alignment vertical="center" shrinkToFit="1"/>
    </xf>
    <xf numFmtId="0" fontId="194" fillId="0" borderId="0" xfId="3" applyFont="1" applyAlignment="1">
      <alignment vertical="center"/>
    </xf>
    <xf numFmtId="0" fontId="194" fillId="31" borderId="3" xfId="3" applyFont="1" applyFill="1" applyBorder="1" applyAlignment="1">
      <alignment horizontal="center" vertical="center"/>
    </xf>
    <xf numFmtId="186" fontId="194" fillId="31" borderId="4" xfId="3" applyNumberFormat="1" applyFont="1" applyFill="1" applyBorder="1" applyAlignment="1">
      <alignment horizontal="right" vertical="center" shrinkToFit="1"/>
    </xf>
    <xf numFmtId="186" fontId="194" fillId="31" borderId="20" xfId="3" applyNumberFormat="1" applyFont="1" applyFill="1" applyBorder="1" applyAlignment="1">
      <alignment horizontal="right" vertical="center" shrinkToFit="1"/>
    </xf>
    <xf numFmtId="41" fontId="194" fillId="0" borderId="0" xfId="1" applyFont="1" applyAlignment="1">
      <alignment vertical="center"/>
    </xf>
    <xf numFmtId="177" fontId="194" fillId="0" borderId="0" xfId="3" applyNumberFormat="1" applyFont="1" applyAlignment="1">
      <alignment vertical="center"/>
    </xf>
    <xf numFmtId="177" fontId="194" fillId="0" borderId="157" xfId="3" applyNumberFormat="1" applyFont="1" applyBorder="1" applyAlignment="1">
      <alignment horizontal="center" vertical="center" shrinkToFit="1"/>
    </xf>
    <xf numFmtId="186" fontId="194" fillId="0" borderId="9" xfId="3" applyNumberFormat="1" applyFont="1" applyBorder="1" applyAlignment="1">
      <alignment horizontal="right" vertical="center" shrinkToFit="1"/>
    </xf>
    <xf numFmtId="186" fontId="194" fillId="0" borderId="66" xfId="3" applyNumberFormat="1" applyFont="1" applyBorder="1" applyAlignment="1">
      <alignment horizontal="right" vertical="center" shrinkToFit="1"/>
    </xf>
    <xf numFmtId="177" fontId="194" fillId="0" borderId="158" xfId="3" applyNumberFormat="1" applyFont="1" applyBorder="1" applyAlignment="1">
      <alignment horizontal="center" vertical="center" shrinkToFit="1"/>
    </xf>
    <xf numFmtId="192" fontId="194" fillId="0" borderId="154" xfId="3" applyNumberFormat="1" applyFont="1" applyBorder="1" applyAlignment="1">
      <alignment horizontal="right" vertical="center" shrinkToFit="1"/>
    </xf>
    <xf numFmtId="192" fontId="194" fillId="0" borderId="159" xfId="3" applyNumberFormat="1" applyFont="1" applyBorder="1" applyAlignment="1">
      <alignment horizontal="right" vertical="center" shrinkToFit="1"/>
    </xf>
    <xf numFmtId="41" fontId="194" fillId="31" borderId="4" xfId="1" applyFont="1" applyFill="1" applyBorder="1" applyAlignment="1">
      <alignment horizontal="right" vertical="center" shrinkToFit="1"/>
    </xf>
    <xf numFmtId="41" fontId="195" fillId="0" borderId="0" xfId="1" applyFont="1" applyAlignment="1">
      <alignment vertical="center"/>
    </xf>
    <xf numFmtId="0" fontId="194" fillId="0" borderId="121" xfId="3" applyFont="1" applyBorder="1" applyAlignment="1">
      <alignment horizontal="center" vertical="center" shrinkToFit="1"/>
    </xf>
    <xf numFmtId="186" fontId="194" fillId="0" borderId="120" xfId="3" applyNumberFormat="1" applyFont="1" applyBorder="1" applyAlignment="1">
      <alignment horizontal="right" vertical="center" shrinkToFit="1"/>
    </xf>
    <xf numFmtId="186" fontId="194" fillId="0" borderId="127" xfId="3" applyNumberFormat="1" applyFont="1" applyBorder="1" applyAlignment="1">
      <alignment horizontal="right" vertical="center" shrinkToFit="1"/>
    </xf>
    <xf numFmtId="177" fontId="194" fillId="0" borderId="154" xfId="3" applyNumberFormat="1" applyFont="1" applyBorder="1" applyAlignment="1">
      <alignment horizontal="right" vertical="center" shrinkToFit="1"/>
    </xf>
    <xf numFmtId="177" fontId="194" fillId="0" borderId="159" xfId="3" applyNumberFormat="1" applyFont="1" applyBorder="1" applyAlignment="1">
      <alignment horizontal="right" vertical="center" shrinkToFit="1"/>
    </xf>
    <xf numFmtId="0" fontId="194" fillId="0" borderId="0" xfId="3" applyFont="1" applyAlignment="1">
      <alignment horizontal="center" vertical="center"/>
    </xf>
    <xf numFmtId="0" fontId="194" fillId="0" borderId="0" xfId="3" applyFont="1" applyBorder="1" applyAlignment="1">
      <alignment horizontal="center" vertical="center"/>
    </xf>
    <xf numFmtId="176" fontId="194" fillId="0" borderId="0" xfId="3" applyNumberFormat="1" applyFont="1" applyAlignment="1">
      <alignment vertical="center"/>
    </xf>
    <xf numFmtId="0" fontId="194" fillId="0" borderId="0" xfId="3" applyFont="1" applyBorder="1" applyAlignment="1">
      <alignment vertical="center"/>
    </xf>
    <xf numFmtId="41" fontId="194" fillId="0" borderId="0" xfId="1" applyFont="1" applyAlignment="1">
      <alignment horizontal="center" vertical="center"/>
    </xf>
    <xf numFmtId="0" fontId="194" fillId="32" borderId="162" xfId="3" applyFont="1" applyFill="1" applyBorder="1" applyAlignment="1">
      <alignment horizontal="center" vertical="center" shrinkToFit="1"/>
    </xf>
    <xf numFmtId="41" fontId="194" fillId="32" borderId="163" xfId="5" applyFont="1" applyFill="1" applyBorder="1" applyAlignment="1">
      <alignment horizontal="right" vertical="center" wrapText="1"/>
    </xf>
    <xf numFmtId="41" fontId="194" fillId="32" borderId="147" xfId="1" applyFont="1" applyFill="1" applyBorder="1" applyAlignment="1">
      <alignment horizontal="right" vertical="center" shrinkToFit="1"/>
    </xf>
    <xf numFmtId="0" fontId="194" fillId="32" borderId="164" xfId="3" applyFont="1" applyFill="1" applyBorder="1" applyAlignment="1">
      <alignment horizontal="center" vertical="center" shrinkToFit="1"/>
    </xf>
    <xf numFmtId="41" fontId="194" fillId="32" borderId="165" xfId="1" applyFont="1" applyFill="1" applyBorder="1" applyAlignment="1">
      <alignment vertical="center" wrapText="1"/>
    </xf>
    <xf numFmtId="41" fontId="194" fillId="32" borderId="165" xfId="5" applyFont="1" applyFill="1" applyBorder="1" applyAlignment="1">
      <alignment vertical="center" wrapText="1"/>
    </xf>
    <xf numFmtId="41" fontId="194" fillId="32" borderId="166" xfId="1" applyFont="1" applyFill="1" applyBorder="1" applyAlignment="1">
      <alignment horizontal="right" vertical="center" shrinkToFit="1"/>
    </xf>
    <xf numFmtId="0" fontId="194" fillId="32" borderId="157" xfId="3" applyFont="1" applyFill="1" applyBorder="1" applyAlignment="1">
      <alignment horizontal="center" vertical="center" shrinkToFit="1"/>
    </xf>
    <xf numFmtId="41" fontId="194" fillId="32" borderId="9" xfId="5" applyFont="1" applyFill="1" applyBorder="1" applyAlignment="1">
      <alignment vertical="center" wrapText="1"/>
    </xf>
    <xf numFmtId="0" fontId="194" fillId="32" borderId="121" xfId="3" applyFont="1" applyFill="1" applyBorder="1" applyAlignment="1">
      <alignment horizontal="center" vertical="center" shrinkToFit="1"/>
    </xf>
    <xf numFmtId="41" fontId="194" fillId="32" borderId="120" xfId="5" applyFont="1" applyFill="1" applyBorder="1" applyAlignment="1">
      <alignment vertical="center" wrapText="1"/>
    </xf>
    <xf numFmtId="41" fontId="194" fillId="0" borderId="0" xfId="3" applyNumberFormat="1" applyFont="1" applyAlignment="1">
      <alignment horizontal="center" vertical="center"/>
    </xf>
    <xf numFmtId="41" fontId="194" fillId="32" borderId="66" xfId="1" applyFont="1" applyFill="1" applyBorder="1" applyAlignment="1">
      <alignment horizontal="right" vertical="center" shrinkToFit="1"/>
    </xf>
    <xf numFmtId="41" fontId="194" fillId="0" borderId="120" xfId="1" applyFont="1" applyBorder="1" applyAlignment="1">
      <alignment horizontal="right" vertical="center" shrinkToFit="1"/>
    </xf>
    <xf numFmtId="41" fontId="194" fillId="0" borderId="127" xfId="1" applyFont="1" applyBorder="1" applyAlignment="1">
      <alignment horizontal="right" vertical="center" shrinkToFit="1"/>
    </xf>
    <xf numFmtId="0" fontId="194" fillId="0" borderId="78" xfId="3" applyFont="1" applyBorder="1" applyAlignment="1">
      <alignment horizontal="center" vertical="center" shrinkToFit="1"/>
    </xf>
    <xf numFmtId="177" fontId="194" fillId="0" borderId="67" xfId="3" applyNumberFormat="1" applyFont="1" applyBorder="1" applyAlignment="1">
      <alignment horizontal="right" vertical="center" shrinkToFit="1"/>
    </xf>
    <xf numFmtId="9" fontId="194" fillId="0" borderId="42" xfId="3" applyNumberFormat="1" applyFont="1" applyBorder="1" applyAlignment="1">
      <alignment horizontal="right" vertical="center" shrinkToFit="1"/>
    </xf>
    <xf numFmtId="0" fontId="194" fillId="0" borderId="3" xfId="3" applyFont="1" applyBorder="1" applyAlignment="1">
      <alignment horizontal="center" vertical="center"/>
    </xf>
    <xf numFmtId="0" fontId="194" fillId="0" borderId="26" xfId="3" applyFont="1" applyBorder="1" applyAlignment="1">
      <alignment horizontal="center" vertical="center"/>
    </xf>
    <xf numFmtId="0" fontId="194" fillId="0" borderId="7" xfId="3" applyFont="1" applyBorder="1" applyAlignment="1">
      <alignment horizontal="center" vertical="center"/>
    </xf>
    <xf numFmtId="0" fontId="194" fillId="0" borderId="121" xfId="3" applyFont="1" applyBorder="1" applyAlignment="1">
      <alignment horizontal="center" vertical="center"/>
    </xf>
    <xf numFmtId="207" fontId="194" fillId="0" borderId="29" xfId="3" applyNumberFormat="1" applyFont="1" applyBorder="1" applyAlignment="1">
      <alignment horizontal="right" vertical="center" shrinkToFit="1"/>
    </xf>
    <xf numFmtId="207" fontId="194" fillId="0" borderId="82" xfId="3" applyNumberFormat="1" applyFont="1" applyBorder="1" applyAlignment="1">
      <alignment horizontal="right" vertical="center" shrinkToFit="1"/>
    </xf>
    <xf numFmtId="177" fontId="194" fillId="0" borderId="123" xfId="3" applyNumberFormat="1" applyFont="1" applyBorder="1" applyAlignment="1">
      <alignment horizontal="right" vertical="center" shrinkToFit="1"/>
    </xf>
    <xf numFmtId="41" fontId="194" fillId="0" borderId="0" xfId="1" applyFont="1" applyAlignment="1">
      <alignment horizontal="right" vertical="center"/>
    </xf>
    <xf numFmtId="177" fontId="194" fillId="0" borderId="0" xfId="2" applyNumberFormat="1" applyFont="1" applyAlignment="1">
      <alignment vertical="center"/>
    </xf>
    <xf numFmtId="0" fontId="189" fillId="0" borderId="0" xfId="0" quotePrefix="1" applyFont="1"/>
    <xf numFmtId="0" fontId="194" fillId="0" borderId="68" xfId="3" applyFont="1" applyBorder="1" applyAlignment="1">
      <alignment vertical="center"/>
    </xf>
    <xf numFmtId="0" fontId="194" fillId="0" borderId="0" xfId="3" applyFont="1" applyAlignment="1"/>
    <xf numFmtId="0" fontId="194" fillId="0" borderId="0" xfId="3" applyFont="1" applyBorder="1" applyAlignment="1">
      <alignment horizontal="left"/>
    </xf>
    <xf numFmtId="186" fontId="194" fillId="0" borderId="0" xfId="3" applyNumberFormat="1" applyFont="1" applyBorder="1" applyAlignment="1">
      <alignment horizontal="left"/>
    </xf>
    <xf numFmtId="41" fontId="194" fillId="0" borderId="0" xfId="1" applyFont="1" applyAlignment="1"/>
    <xf numFmtId="186" fontId="196" fillId="31" borderId="4" xfId="3" applyNumberFormat="1" applyFont="1" applyFill="1" applyBorder="1" applyAlignment="1">
      <alignment horizontal="right" vertical="center" shrinkToFit="1"/>
    </xf>
    <xf numFmtId="186" fontId="196" fillId="0" borderId="9" xfId="3" applyNumberFormat="1" applyFont="1" applyBorder="1" applyAlignment="1">
      <alignment horizontal="right" vertical="center" shrinkToFit="1"/>
    </xf>
    <xf numFmtId="177" fontId="195" fillId="0" borderId="0" xfId="3" applyNumberFormat="1" applyFont="1" applyAlignment="1">
      <alignment vertical="center"/>
    </xf>
    <xf numFmtId="0" fontId="194" fillId="0" borderId="92" xfId="3" applyFont="1" applyBorder="1" applyAlignment="1">
      <alignment horizontal="left" vertical="center"/>
    </xf>
    <xf numFmtId="0" fontId="194" fillId="0" borderId="0" xfId="3" applyFont="1" applyBorder="1" applyAlignment="1">
      <alignment horizontal="left" vertical="center"/>
    </xf>
    <xf numFmtId="41" fontId="194" fillId="32" borderId="147" xfId="5" applyFont="1" applyFill="1" applyBorder="1" applyAlignment="1">
      <alignment horizontal="right" vertical="center" shrinkToFit="1"/>
    </xf>
    <xf numFmtId="0" fontId="195" fillId="0" borderId="0" xfId="3" applyFont="1" applyAlignment="1">
      <alignment vertical="center"/>
    </xf>
    <xf numFmtId="41" fontId="194" fillId="0" borderId="120" xfId="5" applyFont="1" applyBorder="1" applyAlignment="1">
      <alignment horizontal="right" vertical="center" shrinkToFit="1"/>
    </xf>
    <xf numFmtId="41" fontId="194" fillId="0" borderId="82" xfId="1" applyFont="1" applyBorder="1" applyAlignment="1">
      <alignment horizontal="right" vertical="center" shrinkToFit="1"/>
    </xf>
    <xf numFmtId="9" fontId="194" fillId="0" borderId="67" xfId="3" applyNumberFormat="1" applyFont="1" applyBorder="1" applyAlignment="1">
      <alignment horizontal="right" vertical="center" shrinkToFit="1"/>
    </xf>
    <xf numFmtId="9" fontId="194" fillId="0" borderId="123" xfId="3" applyNumberFormat="1" applyFont="1" applyBorder="1" applyAlignment="1">
      <alignment horizontal="right" vertical="center" shrinkToFit="1"/>
    </xf>
    <xf numFmtId="10" fontId="194" fillId="0" borderId="0" xfId="2" applyNumberFormat="1" applyFont="1" applyAlignment="1">
      <alignment vertical="center"/>
    </xf>
    <xf numFmtId="43" fontId="194" fillId="0" borderId="0" xfId="3" applyNumberFormat="1" applyFont="1" applyAlignment="1">
      <alignment vertical="center"/>
    </xf>
    <xf numFmtId="188" fontId="194" fillId="0" borderId="0" xfId="1" applyNumberFormat="1" applyFont="1" applyAlignment="1">
      <alignment vertical="center"/>
    </xf>
    <xf numFmtId="43" fontId="194" fillId="0" borderId="0" xfId="3" applyNumberFormat="1" applyFont="1" applyBorder="1" applyAlignment="1">
      <alignment horizontal="center" vertical="center"/>
    </xf>
    <xf numFmtId="43" fontId="194" fillId="0" borderId="0" xfId="3" applyNumberFormat="1" applyFont="1" applyBorder="1" applyAlignment="1">
      <alignment vertical="center"/>
    </xf>
    <xf numFmtId="2" fontId="194" fillId="0" borderId="0" xfId="3" applyNumberFormat="1" applyFont="1" applyAlignment="1">
      <alignment vertical="center"/>
    </xf>
    <xf numFmtId="0" fontId="194" fillId="32" borderId="27" xfId="3" applyFont="1" applyFill="1" applyBorder="1" applyAlignment="1">
      <alignment horizontal="center" vertical="center" shrinkToFit="1"/>
    </xf>
    <xf numFmtId="41" fontId="194" fillId="0" borderId="82" xfId="5" applyFont="1" applyBorder="1" applyAlignment="1">
      <alignment horizontal="right" vertical="center" shrinkToFit="1"/>
    </xf>
    <xf numFmtId="9" fontId="194" fillId="0" borderId="171" xfId="3" applyNumberFormat="1" applyFont="1" applyBorder="1" applyAlignment="1">
      <alignment horizontal="right" vertical="center" shrinkToFit="1"/>
    </xf>
    <xf numFmtId="177" fontId="194" fillId="0" borderId="171" xfId="3" applyNumberFormat="1" applyFont="1" applyBorder="1" applyAlignment="1">
      <alignment horizontal="right" vertical="center" shrinkToFit="1"/>
    </xf>
    <xf numFmtId="9" fontId="194" fillId="0" borderId="0" xfId="2" applyFont="1" applyAlignment="1">
      <alignment vertical="center"/>
    </xf>
    <xf numFmtId="41" fontId="190" fillId="0" borderId="0" xfId="5" applyFont="1" applyAlignment="1">
      <alignment vertical="center"/>
    </xf>
    <xf numFmtId="0" fontId="149" fillId="2" borderId="0" xfId="3" applyFont="1" applyFill="1" applyAlignment="1">
      <alignment vertical="center"/>
    </xf>
    <xf numFmtId="41" fontId="149" fillId="0" borderId="0" xfId="1" applyFont="1" applyAlignment="1">
      <alignment vertical="center"/>
    </xf>
    <xf numFmtId="41" fontId="149" fillId="0" borderId="0" xfId="3" applyNumberFormat="1" applyFont="1" applyAlignment="1">
      <alignment vertical="center"/>
    </xf>
    <xf numFmtId="10" fontId="149" fillId="0" borderId="0" xfId="2" applyNumberFormat="1" applyFont="1" applyAlignment="1">
      <alignment vertical="center"/>
    </xf>
    <xf numFmtId="0" fontId="197" fillId="35" borderId="0" xfId="3" applyFont="1" applyFill="1" applyAlignment="1">
      <alignment horizontal="center" vertical="center"/>
    </xf>
    <xf numFmtId="0" fontId="106" fillId="35" borderId="0" xfId="0" applyFont="1" applyFill="1"/>
    <xf numFmtId="0" fontId="141" fillId="0" borderId="0" xfId="3" applyFont="1" applyAlignment="1">
      <alignment vertical="center"/>
    </xf>
    <xf numFmtId="0" fontId="149" fillId="0" borderId="0" xfId="3" applyFont="1">
      <alignment vertical="center"/>
    </xf>
    <xf numFmtId="0" fontId="149" fillId="0" borderId="0" xfId="3" applyFont="1" applyFill="1" applyBorder="1" applyAlignment="1"/>
    <xf numFmtId="0" fontId="149" fillId="0" borderId="0" xfId="3" applyFont="1" applyFill="1" applyBorder="1" applyAlignment="1">
      <alignment horizontal="right"/>
    </xf>
    <xf numFmtId="0" fontId="149" fillId="0" borderId="0" xfId="3" quotePrefix="1" applyFont="1" applyFill="1" applyBorder="1" applyAlignment="1" applyProtection="1">
      <alignment horizontal="center"/>
      <protection locked="0"/>
    </xf>
    <xf numFmtId="0" fontId="149" fillId="0" borderId="0" xfId="3" applyFont="1" applyAlignment="1">
      <alignment horizontal="left" vertical="center"/>
    </xf>
    <xf numFmtId="0" fontId="149" fillId="51" borderId="3" xfId="3" applyFont="1" applyFill="1" applyBorder="1" applyAlignment="1">
      <alignment horizontal="center" vertical="center"/>
    </xf>
    <xf numFmtId="0" fontId="149" fillId="0" borderId="157" xfId="3" applyFont="1" applyBorder="1" applyAlignment="1">
      <alignment horizontal="center" vertical="center"/>
    </xf>
    <xf numFmtId="0" fontId="189" fillId="0" borderId="0" xfId="0" applyFont="1" applyAlignment="1">
      <alignment vertical="center"/>
    </xf>
    <xf numFmtId="0" fontId="149" fillId="0" borderId="158" xfId="3" applyFont="1" applyBorder="1" applyAlignment="1">
      <alignment horizontal="center" vertical="center"/>
    </xf>
    <xf numFmtId="0" fontId="149" fillId="0" borderId="0" xfId="3" applyFont="1" applyBorder="1">
      <alignment vertical="center"/>
    </xf>
    <xf numFmtId="0" fontId="149" fillId="0" borderId="0" xfId="3" applyFont="1" applyBorder="1" applyAlignment="1">
      <alignment horizontal="center" vertical="center"/>
    </xf>
    <xf numFmtId="0" fontId="198" fillId="0" borderId="0" xfId="36" applyFont="1" applyAlignment="1" applyProtection="1">
      <alignment vertical="center"/>
    </xf>
    <xf numFmtId="0" fontId="149" fillId="0" borderId="0" xfId="3" applyFont="1" applyFill="1" applyBorder="1" applyAlignment="1">
      <alignment horizontal="center" vertical="center"/>
    </xf>
    <xf numFmtId="0" fontId="149" fillId="0" borderId="173" xfId="3" applyFont="1" applyBorder="1" applyAlignment="1">
      <alignment horizontal="center" vertical="center"/>
    </xf>
    <xf numFmtId="0" fontId="149" fillId="0" borderId="154" xfId="3" applyFont="1" applyBorder="1" applyAlignment="1">
      <alignment horizontal="center" vertical="center"/>
    </xf>
    <xf numFmtId="0" fontId="149" fillId="0" borderId="150" xfId="3" applyFont="1" applyBorder="1" applyAlignment="1">
      <alignment horizontal="center" vertical="center"/>
    </xf>
    <xf numFmtId="0" fontId="149" fillId="0" borderId="3" xfId="3" applyFont="1" applyBorder="1" applyAlignment="1">
      <alignment horizontal="center" vertical="center"/>
    </xf>
    <xf numFmtId="0" fontId="141" fillId="35" borderId="0" xfId="3" applyFont="1" applyFill="1">
      <alignment vertical="center"/>
    </xf>
    <xf numFmtId="0" fontId="199" fillId="35" borderId="0" xfId="36" applyFont="1" applyFill="1" applyAlignment="1" applyProtection="1">
      <alignment vertical="center"/>
    </xf>
    <xf numFmtId="0" fontId="189" fillId="0" borderId="0" xfId="4" applyFont="1">
      <alignment vertical="center"/>
    </xf>
    <xf numFmtId="0" fontId="200" fillId="0" borderId="0" xfId="4" applyFont="1">
      <alignment vertical="center"/>
    </xf>
    <xf numFmtId="0" fontId="200" fillId="0" borderId="0" xfId="4" applyFont="1" applyBorder="1">
      <alignment vertical="center"/>
    </xf>
    <xf numFmtId="0" fontId="200" fillId="0" borderId="0" xfId="4" applyFont="1" applyBorder="1" applyAlignment="1">
      <alignment horizontal="center" vertical="center"/>
    </xf>
    <xf numFmtId="0" fontId="200" fillId="0" borderId="0" xfId="4" applyFont="1" applyBorder="1" applyAlignment="1">
      <alignment horizontal="left" vertical="center"/>
    </xf>
    <xf numFmtId="0" fontId="200" fillId="0" borderId="0" xfId="4" applyFont="1" applyAlignment="1">
      <alignment horizontal="center" vertical="center"/>
    </xf>
    <xf numFmtId="0" fontId="203" fillId="31" borderId="250" xfId="4" applyFont="1" applyFill="1" applyBorder="1" applyAlignment="1">
      <alignment horizontal="center" vertical="center"/>
    </xf>
    <xf numFmtId="41" fontId="203" fillId="31" borderId="250" xfId="24" applyFont="1" applyFill="1" applyBorder="1">
      <alignment vertical="center"/>
    </xf>
    <xf numFmtId="41" fontId="203" fillId="31" borderId="250" xfId="27" applyFont="1" applyFill="1" applyBorder="1">
      <alignment vertical="center"/>
    </xf>
    <xf numFmtId="0" fontId="203" fillId="33" borderId="250" xfId="4" applyFont="1" applyFill="1" applyBorder="1" applyAlignment="1">
      <alignment horizontal="center" vertical="center"/>
    </xf>
    <xf numFmtId="0" fontId="204" fillId="0" borderId="0" xfId="4" applyFont="1">
      <alignment vertical="center"/>
    </xf>
    <xf numFmtId="0" fontId="205" fillId="0" borderId="0" xfId="4" applyFont="1">
      <alignment vertical="center"/>
    </xf>
    <xf numFmtId="0" fontId="206" fillId="0" borderId="0" xfId="4" applyFont="1">
      <alignment vertical="center"/>
    </xf>
    <xf numFmtId="0" fontId="207" fillId="0" borderId="0" xfId="4" applyFont="1" applyAlignment="1">
      <alignment horizontal="left" vertical="center"/>
    </xf>
    <xf numFmtId="0" fontId="196" fillId="0" borderId="0" xfId="4" applyFont="1" applyAlignment="1">
      <alignment horizontal="left" vertical="center"/>
    </xf>
    <xf numFmtId="0" fontId="196" fillId="0" borderId="250" xfId="4" applyFont="1" applyBorder="1">
      <alignment vertical="center"/>
    </xf>
    <xf numFmtId="41" fontId="196" fillId="0" borderId="250" xfId="4" applyNumberFormat="1" applyFont="1" applyBorder="1">
      <alignment vertical="center"/>
    </xf>
    <xf numFmtId="41" fontId="196" fillId="0" borderId="250" xfId="27" applyFont="1" applyFill="1" applyBorder="1">
      <alignment vertical="center"/>
    </xf>
    <xf numFmtId="0" fontId="208" fillId="0" borderId="0" xfId="4" applyFont="1">
      <alignment vertical="center"/>
    </xf>
    <xf numFmtId="0" fontId="209" fillId="0" borderId="0" xfId="4" applyFont="1">
      <alignment vertical="center"/>
    </xf>
    <xf numFmtId="0" fontId="189" fillId="0" borderId="0" xfId="4" applyNumberFormat="1" applyFont="1" applyAlignment="1">
      <alignment horizontal="left" vertical="center" wrapText="1"/>
    </xf>
    <xf numFmtId="0" fontId="200" fillId="0" borderId="0" xfId="4" applyNumberFormat="1" applyFont="1" applyAlignment="1">
      <alignment horizontal="left" vertical="center" wrapText="1"/>
    </xf>
    <xf numFmtId="0" fontId="148" fillId="35" borderId="0" xfId="4" applyFont="1" applyFill="1" applyAlignment="1">
      <alignment horizontal="center" vertical="center"/>
    </xf>
    <xf numFmtId="0" fontId="106" fillId="35" borderId="0" xfId="4" applyFont="1" applyFill="1">
      <alignment vertical="center"/>
    </xf>
    <xf numFmtId="0" fontId="106" fillId="0" borderId="0" xfId="4" applyFont="1">
      <alignment vertical="center"/>
    </xf>
    <xf numFmtId="208" fontId="158" fillId="0" borderId="0" xfId="40" applyFont="1" applyFill="1" applyAlignment="1">
      <alignment vertical="center"/>
    </xf>
    <xf numFmtId="208" fontId="210" fillId="0" borderId="0" xfId="40" applyFont="1" applyFill="1" applyAlignment="1">
      <alignment vertical="center"/>
    </xf>
    <xf numFmtId="208" fontId="210" fillId="0" borderId="0" xfId="40" applyFont="1" applyFill="1" applyAlignment="1">
      <alignment vertical="center" wrapText="1"/>
    </xf>
    <xf numFmtId="0" fontId="211" fillId="0" borderId="0" xfId="41" applyFont="1"/>
    <xf numFmtId="208" fontId="145" fillId="0" borderId="0" xfId="42" applyFont="1">
      <alignment vertical="center"/>
    </xf>
    <xf numFmtId="0" fontId="146" fillId="0" borderId="0" xfId="0" applyFont="1" applyFill="1" applyAlignment="1">
      <alignment vertical="center"/>
    </xf>
    <xf numFmtId="17" fontId="121" fillId="0" borderId="0" xfId="43" applyNumberFormat="1" applyFont="1" applyBorder="1" applyAlignment="1" applyProtection="1">
      <alignment vertical="center"/>
    </xf>
    <xf numFmtId="208" fontId="212" fillId="0" borderId="0" xfId="44" applyFont="1" applyAlignment="1">
      <alignment vertical="center"/>
    </xf>
    <xf numFmtId="191" fontId="121" fillId="0" borderId="0" xfId="43" applyFont="1" applyBorder="1" applyAlignment="1" applyProtection="1">
      <alignment vertical="center"/>
    </xf>
    <xf numFmtId="208" fontId="153" fillId="0" borderId="0" xfId="44" applyFont="1" applyAlignment="1">
      <alignment vertical="center"/>
    </xf>
    <xf numFmtId="208" fontId="213" fillId="0" borderId="0" xfId="45" applyFont="1" applyBorder="1" applyAlignment="1">
      <alignment horizontal="left" vertical="center"/>
    </xf>
    <xf numFmtId="208" fontId="112" fillId="0" borderId="0" xfId="45" applyFont="1" applyBorder="1" applyAlignment="1">
      <alignment vertical="center"/>
    </xf>
    <xf numFmtId="208" fontId="214" fillId="0" borderId="0" xfId="45" applyFont="1" applyBorder="1" applyAlignment="1">
      <alignment vertical="center"/>
    </xf>
    <xf numFmtId="208" fontId="132" fillId="0" borderId="0" xfId="45" applyFont="1" applyAlignment="1">
      <alignment vertical="center"/>
    </xf>
    <xf numFmtId="208" fontId="112" fillId="0" borderId="0" xfId="45" applyFont="1"/>
    <xf numFmtId="0" fontId="211" fillId="0" borderId="0" xfId="41" applyFont="1" applyAlignment="1">
      <alignment horizontal="center"/>
    </xf>
    <xf numFmtId="0" fontId="121" fillId="0" borderId="0" xfId="0" applyFont="1" applyFill="1" applyAlignment="1">
      <alignment vertical="center"/>
    </xf>
    <xf numFmtId="0" fontId="116" fillId="0" borderId="0" xfId="50" applyFont="1"/>
    <xf numFmtId="181" fontId="112" fillId="0" borderId="0" xfId="47" applyNumberFormat="1" applyFont="1" applyAlignment="1">
      <alignment vertical="center"/>
    </xf>
    <xf numFmtId="0" fontId="112" fillId="0" borderId="0" xfId="47" applyFont="1" applyFill="1">
      <alignment vertical="center"/>
    </xf>
    <xf numFmtId="0" fontId="146" fillId="0" borderId="0" xfId="48" applyFont="1" applyFill="1" applyAlignment="1">
      <alignment vertical="center"/>
    </xf>
    <xf numFmtId="0" fontId="116" fillId="0" borderId="0" xfId="49" applyFont="1" applyFill="1" applyAlignment="1">
      <alignment vertical="center"/>
    </xf>
    <xf numFmtId="14" fontId="145" fillId="0" borderId="0" xfId="0" applyNumberFormat="1" applyFont="1" applyAlignment="1">
      <alignment vertical="center"/>
    </xf>
    <xf numFmtId="0" fontId="112" fillId="0" borderId="0" xfId="50" applyFont="1"/>
    <xf numFmtId="0" fontId="154" fillId="0" borderId="0" xfId="50" applyFont="1" applyAlignment="1">
      <alignment horizontal="right"/>
    </xf>
    <xf numFmtId="0" fontId="112" fillId="0" borderId="0" xfId="50" applyFont="1" applyFill="1"/>
    <xf numFmtId="41" fontId="112" fillId="0" borderId="0" xfId="50" applyNumberFormat="1" applyFont="1" applyFill="1"/>
    <xf numFmtId="41" fontId="112" fillId="0" borderId="0" xfId="1" applyFont="1" applyFill="1" applyAlignment="1"/>
    <xf numFmtId="0" fontId="145" fillId="0" borderId="0" xfId="0" applyFont="1" applyAlignment="1">
      <alignment vertical="center"/>
    </xf>
    <xf numFmtId="0" fontId="145" fillId="0" borderId="0" xfId="2" applyNumberFormat="1" applyFont="1">
      <alignment vertical="center"/>
    </xf>
    <xf numFmtId="9" fontId="145" fillId="0" borderId="0" xfId="2" applyFont="1">
      <alignment vertical="center"/>
    </xf>
    <xf numFmtId="41" fontId="145" fillId="0" borderId="0" xfId="11" applyFont="1">
      <alignment vertical="center"/>
    </xf>
    <xf numFmtId="0" fontId="146" fillId="0" borderId="0" xfId="0" applyFont="1" applyAlignment="1">
      <alignment vertical="center"/>
    </xf>
    <xf numFmtId="0" fontId="152" fillId="0" borderId="0" xfId="0" applyFont="1" applyAlignment="1">
      <alignment horizontal="right" vertical="center"/>
    </xf>
    <xf numFmtId="9" fontId="112" fillId="0" borderId="0" xfId="2" applyFont="1" applyFill="1" applyAlignment="1"/>
    <xf numFmtId="188" fontId="112" fillId="0" borderId="0" xfId="1" applyNumberFormat="1" applyFont="1" applyFill="1" applyAlignment="1"/>
    <xf numFmtId="10" fontId="112" fillId="0" borderId="0" xfId="2" applyNumberFormat="1" applyFont="1" applyFill="1" applyAlignment="1"/>
    <xf numFmtId="41" fontId="112" fillId="0" borderId="0" xfId="50" applyNumberFormat="1" applyFont="1"/>
    <xf numFmtId="41" fontId="112" fillId="0" borderId="0" xfId="1" applyFont="1" applyAlignment="1"/>
    <xf numFmtId="0" fontId="216" fillId="35" borderId="0" xfId="0" applyFont="1" applyFill="1" applyAlignment="1">
      <alignment vertical="center"/>
    </xf>
    <xf numFmtId="0" fontId="217" fillId="0" borderId="0" xfId="50" applyFont="1"/>
    <xf numFmtId="41" fontId="215" fillId="0" borderId="190" xfId="1" applyFont="1" applyFill="1" applyBorder="1" applyAlignment="1">
      <alignment horizontal="center" vertical="center" shrinkToFit="1"/>
    </xf>
    <xf numFmtId="41" fontId="215" fillId="0" borderId="190" xfId="1" applyFont="1" applyFill="1" applyBorder="1" applyAlignment="1" applyProtection="1">
      <alignment horizontal="center" vertical="center" shrinkToFit="1"/>
      <protection locked="0"/>
    </xf>
    <xf numFmtId="195" fontId="115" fillId="2" borderId="190" xfId="0" applyNumberFormat="1" applyFont="1" applyFill="1" applyBorder="1" applyAlignment="1">
      <alignment horizontal="center" vertical="center"/>
    </xf>
    <xf numFmtId="218" fontId="109" fillId="2" borderId="190" xfId="2" applyNumberFormat="1" applyFont="1" applyFill="1" applyBorder="1" applyAlignment="1">
      <alignment horizontal="center" vertical="center"/>
    </xf>
    <xf numFmtId="41" fontId="109" fillId="2" borderId="190" xfId="2" applyNumberFormat="1" applyFont="1" applyFill="1" applyBorder="1" applyAlignment="1">
      <alignment horizontal="center" vertical="center"/>
    </xf>
    <xf numFmtId="219" fontId="109" fillId="2" borderId="190" xfId="2" applyNumberFormat="1" applyFont="1" applyFill="1" applyBorder="1" applyAlignment="1">
      <alignment horizontal="center" vertical="center"/>
    </xf>
    <xf numFmtId="188" fontId="112" fillId="2" borderId="190" xfId="1" applyNumberFormat="1" applyFont="1" applyFill="1" applyBorder="1" applyAlignment="1">
      <alignment vertical="center"/>
    </xf>
    <xf numFmtId="177" fontId="112" fillId="2" borderId="190" xfId="2" applyNumberFormat="1" applyFont="1" applyFill="1" applyBorder="1" applyAlignment="1">
      <alignment vertical="center"/>
    </xf>
    <xf numFmtId="220" fontId="112" fillId="2" borderId="190" xfId="0" applyNumberFormat="1" applyFont="1" applyFill="1" applyBorder="1" applyAlignment="1">
      <alignment vertical="center"/>
    </xf>
    <xf numFmtId="221" fontId="112" fillId="2" borderId="190" xfId="0" applyNumberFormat="1" applyFont="1" applyFill="1" applyBorder="1" applyAlignment="1">
      <alignment horizontal="center" vertical="center"/>
    </xf>
    <xf numFmtId="14" fontId="112" fillId="2" borderId="190" xfId="0" applyNumberFormat="1" applyFont="1" applyFill="1" applyBorder="1" applyAlignment="1">
      <alignment horizontal="center" vertical="center"/>
    </xf>
    <xf numFmtId="230" fontId="115" fillId="2" borderId="190" xfId="1" applyNumberFormat="1" applyFont="1" applyFill="1" applyBorder="1" applyAlignment="1">
      <alignment vertical="center"/>
    </xf>
    <xf numFmtId="41" fontId="112" fillId="2" borderId="199" xfId="1" applyFont="1" applyFill="1" applyBorder="1" applyAlignment="1">
      <alignment vertical="center"/>
    </xf>
    <xf numFmtId="223" fontId="112" fillId="2" borderId="190" xfId="1" applyNumberFormat="1" applyFont="1" applyFill="1" applyBorder="1" applyAlignment="1">
      <alignment vertical="center"/>
    </xf>
    <xf numFmtId="0" fontId="112" fillId="2" borderId="190" xfId="0" applyFont="1" applyFill="1" applyBorder="1" applyAlignment="1">
      <alignment horizontal="left" vertical="center"/>
    </xf>
    <xf numFmtId="188" fontId="134" fillId="2" borderId="0" xfId="1" applyNumberFormat="1" applyFont="1" applyFill="1" applyAlignment="1">
      <alignment horizontal="center" vertical="center"/>
    </xf>
    <xf numFmtId="41" fontId="135" fillId="2" borderId="0" xfId="0" applyNumberFormat="1" applyFont="1" applyFill="1" applyAlignment="1">
      <alignment horizontal="center" vertical="center"/>
    </xf>
    <xf numFmtId="43" fontId="134" fillId="2" borderId="0" xfId="1" applyNumberFormat="1" applyFont="1" applyFill="1" applyAlignment="1">
      <alignment vertical="center"/>
    </xf>
    <xf numFmtId="188" fontId="134" fillId="2" borderId="0" xfId="1" applyNumberFormat="1" applyFont="1" applyFill="1" applyAlignment="1">
      <alignment vertical="center"/>
    </xf>
    <xf numFmtId="41" fontId="115" fillId="2" borderId="0" xfId="1" applyFont="1" applyFill="1" applyAlignment="1">
      <alignment horizontal="center" vertical="center"/>
    </xf>
    <xf numFmtId="14" fontId="134" fillId="44" borderId="196" xfId="0" applyNumberFormat="1" applyFont="1" applyFill="1" applyBorder="1" applyAlignment="1">
      <alignment horizontal="center"/>
    </xf>
    <xf numFmtId="0" fontId="109" fillId="44" borderId="195" xfId="0" applyFont="1" applyFill="1" applyBorder="1" applyAlignment="1">
      <alignment horizontal="center"/>
    </xf>
    <xf numFmtId="0" fontId="0" fillId="2" borderId="0" xfId="0" applyFill="1"/>
    <xf numFmtId="0" fontId="219" fillId="2" borderId="0" xfId="0" applyFont="1" applyFill="1"/>
    <xf numFmtId="0" fontId="0" fillId="52" borderId="0" xfId="0" applyFill="1"/>
    <xf numFmtId="14" fontId="134" fillId="2" borderId="190" xfId="0" applyNumberFormat="1" applyFont="1" applyFill="1" applyBorder="1" applyAlignment="1">
      <alignment horizontal="center" vertical="center"/>
    </xf>
    <xf numFmtId="0" fontId="134" fillId="2" borderId="190" xfId="0" applyFont="1" applyFill="1" applyBorder="1" applyAlignment="1">
      <alignment horizontal="center" vertical="center"/>
    </xf>
    <xf numFmtId="195" fontId="135" fillId="2" borderId="190" xfId="0" applyNumberFormat="1" applyFont="1" applyFill="1" applyBorder="1" applyAlignment="1">
      <alignment horizontal="center" vertical="center"/>
    </xf>
    <xf numFmtId="218" fontId="134" fillId="2" borderId="190" xfId="2" applyNumberFormat="1" applyFont="1" applyFill="1" applyBorder="1" applyAlignment="1">
      <alignment horizontal="center" vertical="center"/>
    </xf>
    <xf numFmtId="0" fontId="0" fillId="2" borderId="0" xfId="0" applyFill="1" applyBorder="1"/>
    <xf numFmtId="0" fontId="220" fillId="51" borderId="190" xfId="0" applyFont="1" applyFill="1" applyBorder="1" applyAlignment="1">
      <alignment horizontal="centerContinuous" vertical="center"/>
    </xf>
    <xf numFmtId="0" fontId="220" fillId="51" borderId="190" xfId="0" applyFont="1" applyFill="1" applyBorder="1" applyAlignment="1">
      <alignment horizontal="centerContinuous" vertical="center" wrapText="1"/>
    </xf>
    <xf numFmtId="0" fontId="220" fillId="51" borderId="190" xfId="0" applyFont="1" applyFill="1" applyBorder="1" applyAlignment="1">
      <alignment horizontal="center" vertical="center"/>
    </xf>
    <xf numFmtId="0" fontId="109" fillId="44" borderId="195" xfId="0" applyFont="1" applyFill="1" applyBorder="1"/>
    <xf numFmtId="0" fontId="109" fillId="44" borderId="196" xfId="0" applyFont="1" applyFill="1" applyBorder="1"/>
    <xf numFmtId="0" fontId="22" fillId="51" borderId="190" xfId="0" applyFont="1" applyFill="1" applyBorder="1" applyAlignment="1">
      <alignment horizontal="centerContinuous" vertical="center"/>
    </xf>
    <xf numFmtId="188" fontId="22" fillId="51" borderId="190" xfId="1" applyNumberFormat="1" applyFont="1" applyFill="1" applyBorder="1" applyAlignment="1">
      <alignment horizontal="center" vertical="center"/>
    </xf>
    <xf numFmtId="0" fontId="22" fillId="51" borderId="190" xfId="0" applyFont="1" applyFill="1" applyBorder="1" applyAlignment="1">
      <alignment horizontal="center"/>
    </xf>
    <xf numFmtId="183" fontId="164" fillId="4" borderId="260" xfId="21" applyNumberFormat="1" applyFont="1" applyFill="1" applyBorder="1" applyAlignment="1">
      <alignment horizontal="center" vertical="center" wrapText="1"/>
    </xf>
    <xf numFmtId="183" fontId="164" fillId="4" borderId="260" xfId="21" applyNumberFormat="1" applyFont="1" applyFill="1" applyBorder="1" applyAlignment="1">
      <alignment vertical="center" wrapText="1"/>
    </xf>
    <xf numFmtId="49" fontId="32" fillId="17" borderId="259" xfId="0" applyNumberFormat="1" applyFont="1" applyFill="1" applyBorder="1" applyAlignment="1">
      <alignment vertical="center"/>
    </xf>
    <xf numFmtId="49" fontId="57" fillId="17" borderId="257" xfId="0" applyNumberFormat="1" applyFont="1" applyFill="1" applyBorder="1" applyAlignment="1">
      <alignment horizontal="center" vertical="center"/>
    </xf>
    <xf numFmtId="41" fontId="58" fillId="17" borderId="256" xfId="0" applyNumberFormat="1" applyFont="1" applyFill="1" applyBorder="1" applyAlignment="1">
      <alignment horizontal="center" vertical="center"/>
    </xf>
    <xf numFmtId="202" fontId="58" fillId="17" borderId="256" xfId="0" applyNumberFormat="1" applyFont="1" applyFill="1" applyBorder="1" applyAlignment="1">
      <alignment horizontal="center" vertical="center"/>
    </xf>
    <xf numFmtId="49" fontId="32" fillId="17" borderId="257" xfId="0" applyNumberFormat="1" applyFont="1" applyFill="1" applyBorder="1" applyAlignment="1">
      <alignment vertical="center"/>
    </xf>
    <xf numFmtId="41" fontId="44" fillId="0" borderId="256" xfId="1" applyNumberFormat="1" applyFont="1" applyBorder="1">
      <alignment vertical="center"/>
    </xf>
    <xf numFmtId="41" fontId="44" fillId="0" borderId="256" xfId="1" applyFont="1" applyBorder="1">
      <alignment vertical="center"/>
    </xf>
    <xf numFmtId="0" fontId="32" fillId="0" borderId="140" xfId="0" quotePrefix="1" applyNumberFormat="1" applyFont="1" applyBorder="1" applyAlignment="1">
      <alignment horizontal="right" vertical="center"/>
    </xf>
    <xf numFmtId="0" fontId="42" fillId="0" borderId="88" xfId="0" applyFont="1" applyBorder="1" applyAlignment="1">
      <alignment vertical="center"/>
    </xf>
    <xf numFmtId="0" fontId="42" fillId="0" borderId="88" xfId="0" applyFont="1" applyFill="1" applyBorder="1" applyAlignment="1">
      <alignment vertical="center"/>
    </xf>
    <xf numFmtId="0" fontId="32" fillId="0" borderId="140" xfId="0" quotePrefix="1" applyNumberFormat="1" applyFont="1" applyFill="1" applyBorder="1" applyAlignment="1">
      <alignment horizontal="right" vertical="center"/>
    </xf>
    <xf numFmtId="0" fontId="42" fillId="0" borderId="140" xfId="0" applyFont="1" applyBorder="1" applyAlignment="1">
      <alignment vertical="center"/>
    </xf>
    <xf numFmtId="0" fontId="18" fillId="0" borderId="88" xfId="0" applyFont="1" applyBorder="1" applyAlignment="1">
      <alignment horizontal="left" vertical="center"/>
    </xf>
    <xf numFmtId="49" fontId="32" fillId="0" borderId="140" xfId="0" applyNumberFormat="1" applyFont="1" applyBorder="1" applyAlignment="1">
      <alignment horizontal="right" vertical="center"/>
    </xf>
    <xf numFmtId="0" fontId="32" fillId="0" borderId="88" xfId="0" applyFont="1" applyBorder="1" applyAlignment="1">
      <alignment vertical="center"/>
    </xf>
    <xf numFmtId="49" fontId="32" fillId="0" borderId="140" xfId="0" applyNumberFormat="1" applyFont="1" applyFill="1" applyBorder="1" applyAlignment="1">
      <alignment horizontal="right" vertical="center"/>
    </xf>
    <xf numFmtId="0" fontId="32" fillId="0" borderId="88" xfId="0" applyFont="1" applyFill="1" applyBorder="1" applyAlignment="1">
      <alignment vertical="center"/>
    </xf>
    <xf numFmtId="41" fontId="42" fillId="0" borderId="256" xfId="1" applyFont="1" applyBorder="1">
      <alignment vertical="center"/>
    </xf>
    <xf numFmtId="0" fontId="23" fillId="0" borderId="88" xfId="0" applyFont="1" applyBorder="1" applyAlignment="1">
      <alignment vertical="center"/>
    </xf>
    <xf numFmtId="0" fontId="42" fillId="19" borderId="140" xfId="0" applyFont="1" applyFill="1" applyBorder="1" applyAlignment="1">
      <alignment vertical="center"/>
    </xf>
    <xf numFmtId="0" fontId="59" fillId="19" borderId="88" xfId="0" applyFont="1" applyFill="1" applyBorder="1" applyAlignment="1">
      <alignment vertical="center"/>
    </xf>
    <xf numFmtId="49" fontId="32" fillId="0" borderId="140" xfId="0" quotePrefix="1" applyNumberFormat="1" applyFont="1" applyBorder="1" applyAlignment="1">
      <alignment horizontal="right" vertical="center"/>
    </xf>
    <xf numFmtId="49" fontId="18" fillId="0" borderId="140" xfId="0" applyNumberFormat="1" applyFont="1" applyBorder="1" applyAlignment="1">
      <alignment horizontal="right" vertical="center"/>
    </xf>
    <xf numFmtId="49" fontId="53" fillId="0" borderId="140" xfId="0" applyNumberFormat="1" applyFont="1" applyBorder="1" applyAlignment="1">
      <alignment horizontal="right" vertical="center"/>
    </xf>
    <xf numFmtId="0" fontId="18" fillId="0" borderId="262" xfId="0" applyFont="1" applyBorder="1" applyAlignment="1">
      <alignment vertical="center"/>
    </xf>
    <xf numFmtId="0" fontId="53" fillId="0" borderId="262" xfId="0" applyFont="1" applyBorder="1" applyAlignment="1">
      <alignment vertical="center"/>
    </xf>
    <xf numFmtId="49" fontId="223" fillId="17" borderId="45" xfId="0" applyNumberFormat="1" applyFont="1" applyFill="1" applyBorder="1" applyAlignment="1">
      <alignment horizontal="center" vertical="center"/>
    </xf>
    <xf numFmtId="3" fontId="58" fillId="17" borderId="257" xfId="0" quotePrefix="1" applyNumberFormat="1" applyFont="1" applyFill="1" applyBorder="1" applyAlignment="1">
      <alignment horizontal="center" vertical="center"/>
    </xf>
    <xf numFmtId="0" fontId="58" fillId="17" borderId="263" xfId="0" quotePrefix="1" applyNumberFormat="1" applyFont="1" applyFill="1" applyBorder="1" applyAlignment="1">
      <alignment horizontal="center" vertical="center"/>
    </xf>
    <xf numFmtId="49" fontId="223" fillId="17" borderId="256" xfId="0" applyNumberFormat="1" applyFont="1" applyFill="1" applyBorder="1" applyAlignment="1">
      <alignment horizontal="center" vertical="center"/>
    </xf>
    <xf numFmtId="41" fontId="63" fillId="18" borderId="243" xfId="1" applyFont="1" applyFill="1" applyBorder="1">
      <alignment vertical="center"/>
    </xf>
    <xf numFmtId="41" fontId="63" fillId="18" borderId="258" xfId="1" applyNumberFormat="1" applyFont="1" applyFill="1" applyBorder="1">
      <alignment vertical="center"/>
    </xf>
    <xf numFmtId="41" fontId="63" fillId="18" borderId="258" xfId="1" applyFont="1" applyFill="1" applyBorder="1">
      <alignment vertical="center"/>
    </xf>
    <xf numFmtId="41" fontId="63" fillId="18" borderId="261" xfId="1" applyFont="1" applyFill="1" applyBorder="1">
      <alignment vertical="center"/>
    </xf>
    <xf numFmtId="41" fontId="63" fillId="18" borderId="255" xfId="1" applyFont="1" applyFill="1" applyBorder="1">
      <alignment vertical="center"/>
    </xf>
    <xf numFmtId="41" fontId="18" fillId="19" borderId="47" xfId="1" applyFont="1" applyFill="1" applyBorder="1">
      <alignment vertical="center"/>
    </xf>
    <xf numFmtId="41" fontId="18" fillId="0" borderId="88" xfId="1" applyNumberFormat="1" applyFont="1" applyBorder="1">
      <alignment vertical="center"/>
    </xf>
    <xf numFmtId="41" fontId="18" fillId="0" borderId="88" xfId="1" applyFont="1" applyBorder="1">
      <alignment vertical="center"/>
    </xf>
    <xf numFmtId="41" fontId="18" fillId="0" borderId="0" xfId="1" applyFont="1" applyFill="1" applyBorder="1">
      <alignment vertical="center"/>
    </xf>
    <xf numFmtId="41" fontId="18" fillId="0" borderId="183" xfId="1" applyFont="1" applyBorder="1">
      <alignment vertical="center"/>
    </xf>
    <xf numFmtId="41" fontId="18" fillId="19" borderId="183" xfId="1" applyFont="1" applyFill="1" applyBorder="1">
      <alignment vertical="center"/>
    </xf>
    <xf numFmtId="41" fontId="18" fillId="19" borderId="48" xfId="1" applyFont="1" applyFill="1" applyBorder="1">
      <alignment vertical="center"/>
    </xf>
    <xf numFmtId="3" fontId="18" fillId="19" borderId="180" xfId="1" applyNumberFormat="1" applyFont="1" applyFill="1" applyBorder="1">
      <alignment vertical="center"/>
    </xf>
    <xf numFmtId="41" fontId="18" fillId="19" borderId="180" xfId="1" applyNumberFormat="1" applyFont="1" applyFill="1" applyBorder="1">
      <alignment vertical="center"/>
    </xf>
    <xf numFmtId="41" fontId="18" fillId="19" borderId="180" xfId="1" applyFont="1" applyFill="1" applyBorder="1">
      <alignment vertical="center"/>
    </xf>
    <xf numFmtId="41" fontId="18" fillId="19" borderId="262" xfId="1" applyFont="1" applyFill="1" applyBorder="1">
      <alignment vertical="center"/>
    </xf>
    <xf numFmtId="41" fontId="18" fillId="19" borderId="205" xfId="1" applyFont="1" applyFill="1" applyBorder="1">
      <alignment vertical="center"/>
    </xf>
    <xf numFmtId="41" fontId="18" fillId="19" borderId="243" xfId="1" applyFont="1" applyFill="1" applyBorder="1">
      <alignment vertical="center"/>
    </xf>
    <xf numFmtId="41" fontId="18" fillId="19" borderId="258" xfId="1" applyNumberFormat="1" applyFont="1" applyFill="1" applyBorder="1">
      <alignment vertical="center"/>
    </xf>
    <xf numFmtId="41" fontId="18" fillId="19" borderId="258" xfId="1" applyFont="1" applyFill="1" applyBorder="1">
      <alignment vertical="center"/>
    </xf>
    <xf numFmtId="41" fontId="18" fillId="19" borderId="261" xfId="1" applyFont="1" applyFill="1" applyBorder="1">
      <alignment vertical="center"/>
    </xf>
    <xf numFmtId="41" fontId="18" fillId="19" borderId="255" xfId="1" applyFont="1" applyFill="1" applyBorder="1">
      <alignment vertical="center"/>
    </xf>
    <xf numFmtId="41" fontId="53" fillId="19" borderId="47" xfId="1" applyFont="1" applyFill="1" applyBorder="1">
      <alignment vertical="center"/>
    </xf>
    <xf numFmtId="41" fontId="53" fillId="0" borderId="88" xfId="1" applyNumberFormat="1" applyFont="1" applyBorder="1">
      <alignment vertical="center"/>
    </xf>
    <xf numFmtId="41" fontId="53" fillId="0" borderId="88" xfId="1" applyFont="1" applyBorder="1">
      <alignment vertical="center"/>
    </xf>
    <xf numFmtId="41" fontId="53" fillId="0" borderId="0" xfId="1" applyFont="1" applyFill="1" applyBorder="1">
      <alignment vertical="center"/>
    </xf>
    <xf numFmtId="41" fontId="53" fillId="0" borderId="183" xfId="1" applyFont="1" applyBorder="1">
      <alignment vertical="center"/>
    </xf>
    <xf numFmtId="41" fontId="53" fillId="19" borderId="183" xfId="1" applyFont="1" applyFill="1" applyBorder="1">
      <alignment vertical="center"/>
    </xf>
    <xf numFmtId="189" fontId="63" fillId="18" borderId="243" xfId="1" applyNumberFormat="1" applyFont="1" applyFill="1" applyBorder="1">
      <alignment vertical="center"/>
    </xf>
    <xf numFmtId="189" fontId="63" fillId="18" borderId="258" xfId="1" applyNumberFormat="1" applyFont="1" applyFill="1" applyBorder="1">
      <alignment vertical="center"/>
    </xf>
    <xf numFmtId="189" fontId="63" fillId="18" borderId="261" xfId="1" applyNumberFormat="1" applyFont="1" applyFill="1" applyBorder="1">
      <alignment vertical="center"/>
    </xf>
    <xf numFmtId="189" fontId="63" fillId="18" borderId="255" xfId="1" applyNumberFormat="1" applyFont="1" applyFill="1" applyBorder="1">
      <alignment vertical="center"/>
    </xf>
    <xf numFmtId="189" fontId="18" fillId="0" borderId="88" xfId="1" applyNumberFormat="1" applyFont="1" applyBorder="1">
      <alignment vertical="center"/>
    </xf>
    <xf numFmtId="41" fontId="18" fillId="19" borderId="88" xfId="1" applyFont="1" applyFill="1" applyBorder="1">
      <alignment vertical="center"/>
    </xf>
    <xf numFmtId="41" fontId="53" fillId="19" borderId="48" xfId="1" applyFont="1" applyFill="1" applyBorder="1">
      <alignment vertical="center"/>
    </xf>
    <xf numFmtId="3" fontId="53" fillId="0" borderId="180" xfId="1" applyNumberFormat="1" applyFont="1" applyBorder="1">
      <alignment vertical="center"/>
    </xf>
    <xf numFmtId="41" fontId="53" fillId="0" borderId="180" xfId="1" applyNumberFormat="1" applyFont="1" applyBorder="1">
      <alignment vertical="center"/>
    </xf>
    <xf numFmtId="41" fontId="53" fillId="0" borderId="180" xfId="1" applyFont="1" applyBorder="1">
      <alignment vertical="center"/>
    </xf>
    <xf numFmtId="41" fontId="53" fillId="0" borderId="262" xfId="1" applyFont="1" applyFill="1" applyBorder="1">
      <alignment vertical="center"/>
    </xf>
    <xf numFmtId="41" fontId="53" fillId="0" borderId="205" xfId="1" applyFont="1" applyBorder="1">
      <alignment vertical="center"/>
    </xf>
    <xf numFmtId="41" fontId="53" fillId="19" borderId="205" xfId="1" applyFont="1" applyFill="1" applyBorder="1">
      <alignment vertical="center"/>
    </xf>
    <xf numFmtId="189" fontId="63" fillId="18" borderId="244" xfId="1" applyNumberFormat="1" applyFont="1" applyFill="1" applyBorder="1">
      <alignment vertical="center"/>
    </xf>
    <xf numFmtId="43" fontId="32" fillId="0" borderId="0" xfId="1" applyNumberFormat="1" applyFont="1">
      <alignment vertical="center"/>
    </xf>
    <xf numFmtId="0" fontId="50" fillId="0" borderId="76" xfId="0" applyFont="1" applyFill="1" applyBorder="1" applyAlignment="1">
      <alignment horizontal="center" vertical="center"/>
    </xf>
    <xf numFmtId="14" fontId="50" fillId="0" borderId="76" xfId="0" applyNumberFormat="1" applyFont="1" applyFill="1" applyBorder="1" applyAlignment="1">
      <alignment horizontal="center" vertical="center"/>
    </xf>
    <xf numFmtId="0" fontId="50" fillId="0" borderId="76" xfId="0" applyNumberFormat="1" applyFont="1" applyFill="1" applyBorder="1" applyAlignment="1">
      <alignment horizontal="center" vertical="center"/>
    </xf>
    <xf numFmtId="0" fontId="50" fillId="0" borderId="76" xfId="0" applyFont="1" applyFill="1" applyBorder="1" applyAlignment="1">
      <alignment vertical="center"/>
    </xf>
    <xf numFmtId="189" fontId="102" fillId="0" borderId="76" xfId="0" applyNumberFormat="1" applyFont="1" applyFill="1" applyBorder="1" applyAlignment="1">
      <alignment horizontal="right" vertical="center"/>
    </xf>
    <xf numFmtId="0" fontId="78" fillId="0" borderId="76" xfId="0" applyFont="1" applyFill="1" applyBorder="1" applyAlignment="1" applyProtection="1">
      <alignment horizontal="center"/>
      <protection locked="0"/>
    </xf>
    <xf numFmtId="0" fontId="19" fillId="0" borderId="76" xfId="0" applyFont="1" applyFill="1" applyBorder="1" applyAlignment="1">
      <alignment vertical="center"/>
    </xf>
    <xf numFmtId="0" fontId="66" fillId="0" borderId="76" xfId="0" applyFont="1" applyFill="1" applyBorder="1" applyAlignment="1" applyProtection="1">
      <alignment horizontal="center"/>
      <protection locked="0"/>
    </xf>
    <xf numFmtId="0" fontId="50" fillId="0" borderId="76" xfId="38" applyFont="1" applyFill="1" applyBorder="1" applyAlignment="1">
      <alignment horizontal="left" vertical="center"/>
    </xf>
    <xf numFmtId="0" fontId="23" fillId="0" borderId="76" xfId="0" applyFont="1" applyFill="1" applyBorder="1" applyAlignment="1" applyProtection="1">
      <alignment horizontal="center"/>
      <protection locked="0"/>
    </xf>
    <xf numFmtId="0" fontId="46" fillId="0" borderId="76" xfId="0" applyFont="1" applyFill="1" applyBorder="1" applyAlignment="1" applyProtection="1">
      <alignment horizontal="center"/>
      <protection locked="0"/>
    </xf>
    <xf numFmtId="0" fontId="50" fillId="48" borderId="76" xfId="0" applyFont="1" applyFill="1" applyBorder="1" applyAlignment="1">
      <alignment horizontal="center" vertical="center"/>
    </xf>
    <xf numFmtId="14" fontId="50" fillId="48" borderId="76" xfId="0" applyNumberFormat="1" applyFont="1" applyFill="1" applyBorder="1" applyAlignment="1">
      <alignment horizontal="center" vertical="center"/>
    </xf>
    <xf numFmtId="0" fontId="50" fillId="48" borderId="76" xfId="0" applyNumberFormat="1" applyFont="1" applyFill="1" applyBorder="1" applyAlignment="1">
      <alignment horizontal="center" vertical="center"/>
    </xf>
    <xf numFmtId="0" fontId="50" fillId="48" borderId="76" xfId="0" applyFont="1" applyFill="1" applyBorder="1" applyAlignment="1">
      <alignment vertical="center"/>
    </xf>
    <xf numFmtId="189" fontId="102" fillId="48" borderId="76" xfId="0" applyNumberFormat="1" applyFont="1" applyFill="1" applyBorder="1" applyAlignment="1">
      <alignment horizontal="right" vertical="center"/>
    </xf>
    <xf numFmtId="0" fontId="23" fillId="48" borderId="76" xfId="0" applyFont="1" applyFill="1" applyBorder="1" applyAlignment="1" applyProtection="1">
      <alignment horizontal="center"/>
      <protection locked="0"/>
    </xf>
    <xf numFmtId="0" fontId="46" fillId="48" borderId="76" xfId="0" applyFont="1" applyFill="1" applyBorder="1" applyAlignment="1" applyProtection="1">
      <alignment horizontal="center"/>
      <protection locked="0"/>
    </xf>
    <xf numFmtId="0" fontId="48" fillId="48" borderId="0" xfId="0" applyFont="1" applyFill="1" applyAlignment="1">
      <alignment vertical="center"/>
    </xf>
    <xf numFmtId="0" fontId="50" fillId="0" borderId="76" xfId="36" applyFont="1" applyFill="1" applyBorder="1" applyAlignment="1" applyProtection="1">
      <alignment vertical="center"/>
    </xf>
    <xf numFmtId="196" fontId="102" fillId="0" borderId="76" xfId="0" applyNumberFormat="1" applyFont="1" applyFill="1" applyBorder="1" applyAlignment="1">
      <alignment horizontal="right" vertical="center"/>
    </xf>
    <xf numFmtId="0" fontId="64" fillId="0" borderId="76" xfId="0" applyFont="1" applyFill="1" applyBorder="1" applyAlignment="1" applyProtection="1">
      <alignment horizontal="center"/>
      <protection locked="0"/>
    </xf>
    <xf numFmtId="0" fontId="50" fillId="0" borderId="76" xfId="38" applyFont="1" applyFill="1" applyBorder="1" applyAlignment="1">
      <alignment vertical="center"/>
    </xf>
    <xf numFmtId="0" fontId="64" fillId="0" borderId="76" xfId="0" applyFont="1" applyFill="1" applyBorder="1" applyAlignment="1">
      <alignment vertical="center"/>
    </xf>
    <xf numFmtId="0" fontId="50" fillId="0" borderId="157" xfId="0" quotePrefix="1" applyFont="1" applyFill="1" applyBorder="1" applyAlignment="1">
      <alignment horizontal="center" vertical="center"/>
    </xf>
    <xf numFmtId="0" fontId="44" fillId="0" borderId="76" xfId="0" applyFont="1" applyFill="1" applyBorder="1" applyAlignment="1" applyProtection="1">
      <alignment horizontal="center"/>
      <protection locked="0"/>
    </xf>
    <xf numFmtId="38" fontId="102" fillId="0" borderId="76" xfId="0" applyNumberFormat="1" applyFont="1" applyFill="1" applyBorder="1" applyAlignment="1">
      <alignment horizontal="right" vertical="center"/>
    </xf>
    <xf numFmtId="0" fontId="79" fillId="0" borderId="76" xfId="0" applyFont="1" applyFill="1" applyBorder="1" applyAlignment="1" applyProtection="1">
      <alignment horizontal="center"/>
      <protection locked="0"/>
    </xf>
    <xf numFmtId="0" fontId="80" fillId="0" borderId="76" xfId="0" applyFont="1" applyFill="1" applyBorder="1" applyAlignment="1" applyProtection="1">
      <alignment horizontal="center"/>
      <protection locked="0"/>
    </xf>
    <xf numFmtId="0" fontId="70" fillId="0" borderId="76" xfId="0" applyFont="1" applyFill="1" applyBorder="1" applyAlignment="1" applyProtection="1">
      <alignment horizontal="center"/>
      <protection locked="0"/>
    </xf>
    <xf numFmtId="190" fontId="50" fillId="0" borderId="157" xfId="0" quotePrefix="1" applyNumberFormat="1" applyFont="1" applyFill="1" applyBorder="1" applyAlignment="1">
      <alignment horizontal="center" vertical="center"/>
    </xf>
    <xf numFmtId="0" fontId="50" fillId="2" borderId="157" xfId="0" quotePrefix="1" applyFont="1" applyFill="1" applyBorder="1" applyAlignment="1">
      <alignment horizontal="center" vertical="center"/>
    </xf>
    <xf numFmtId="0" fontId="50" fillId="2" borderId="76" xfId="0" applyFont="1" applyFill="1" applyBorder="1" applyAlignment="1">
      <alignment horizontal="center" vertical="center"/>
    </xf>
    <xf numFmtId="14" fontId="50" fillId="2" borderId="76" xfId="0" applyNumberFormat="1" applyFont="1" applyFill="1" applyBorder="1" applyAlignment="1">
      <alignment horizontal="center" vertical="center"/>
    </xf>
    <xf numFmtId="0" fontId="50" fillId="2" borderId="76" xfId="0" applyNumberFormat="1" applyFont="1" applyFill="1" applyBorder="1" applyAlignment="1">
      <alignment horizontal="center" vertical="center"/>
    </xf>
    <xf numFmtId="0" fontId="50" fillId="2" borderId="120" xfId="0" applyFont="1" applyFill="1" applyBorder="1" applyAlignment="1">
      <alignment horizontal="center" vertical="center"/>
    </xf>
    <xf numFmtId="0" fontId="50" fillId="2" borderId="76" xfId="38" applyFont="1" applyFill="1" applyBorder="1" applyAlignment="1">
      <alignment horizontal="left" vertical="center"/>
    </xf>
    <xf numFmtId="196" fontId="102" fillId="2" borderId="76" xfId="0" applyNumberFormat="1" applyFont="1" applyFill="1" applyBorder="1" applyAlignment="1">
      <alignment horizontal="right" vertical="center"/>
    </xf>
    <xf numFmtId="10" fontId="50" fillId="2" borderId="66" xfId="0" applyNumberFormat="1" applyFont="1" applyFill="1" applyBorder="1" applyAlignment="1">
      <alignment horizontal="center" vertical="center"/>
    </xf>
    <xf numFmtId="0" fontId="50" fillId="11" borderId="157" xfId="0" quotePrefix="1" applyFont="1" applyFill="1" applyBorder="1" applyAlignment="1">
      <alignment horizontal="center" vertical="center"/>
    </xf>
    <xf numFmtId="0" fontId="50" fillId="11" borderId="76" xfId="0" applyFont="1" applyFill="1" applyBorder="1" applyAlignment="1">
      <alignment horizontal="center" vertical="center"/>
    </xf>
    <xf numFmtId="14" fontId="50" fillId="11" borderId="76" xfId="0" applyNumberFormat="1" applyFont="1" applyFill="1" applyBorder="1" applyAlignment="1">
      <alignment horizontal="center" vertical="center"/>
    </xf>
    <xf numFmtId="0" fontId="50" fillId="11" borderId="76" xfId="0" applyNumberFormat="1" applyFont="1" applyFill="1" applyBorder="1" applyAlignment="1">
      <alignment horizontal="center" vertical="center"/>
    </xf>
    <xf numFmtId="0" fontId="50" fillId="11" borderId="120" xfId="0" applyFont="1" applyFill="1" applyBorder="1" applyAlignment="1">
      <alignment horizontal="center" vertical="center"/>
    </xf>
    <xf numFmtId="0" fontId="50" fillId="11" borderId="76" xfId="38" applyFont="1" applyFill="1" applyBorder="1" applyAlignment="1">
      <alignment horizontal="left" vertical="center"/>
    </xf>
    <xf numFmtId="196" fontId="102" fillId="11" borderId="76" xfId="0" applyNumberFormat="1" applyFont="1" applyFill="1" applyBorder="1" applyAlignment="1">
      <alignment horizontal="right" vertical="center"/>
    </xf>
    <xf numFmtId="10" fontId="50" fillId="11" borderId="66" xfId="0" applyNumberFormat="1" applyFont="1" applyFill="1" applyBorder="1" applyAlignment="1">
      <alignment horizontal="center" vertical="center"/>
    </xf>
    <xf numFmtId="0" fontId="19" fillId="18" borderId="262" xfId="0" applyFont="1" applyFill="1" applyBorder="1" applyAlignment="1">
      <alignment vertical="center"/>
    </xf>
    <xf numFmtId="196" fontId="44" fillId="18" borderId="262" xfId="0" applyNumberFormat="1" applyFont="1" applyFill="1" applyBorder="1" applyAlignment="1">
      <alignment vertical="center"/>
    </xf>
    <xf numFmtId="41" fontId="43" fillId="0" borderId="0" xfId="11" applyFont="1" applyAlignment="1">
      <alignment horizontal="center" vertical="center"/>
    </xf>
    <xf numFmtId="196" fontId="43" fillId="0" borderId="0" xfId="0" applyNumberFormat="1" applyFont="1" applyAlignment="1">
      <alignment vertical="center"/>
    </xf>
    <xf numFmtId="41" fontId="25" fillId="15" borderId="264" xfId="50" applyNumberFormat="1" applyFont="1" applyFill="1" applyBorder="1" applyAlignment="1">
      <alignment horizontal="left" vertical="center"/>
    </xf>
    <xf numFmtId="41" fontId="43" fillId="19" borderId="264" xfId="11" applyFont="1" applyFill="1" applyBorder="1" applyAlignment="1">
      <alignment horizontal="center" vertical="center"/>
    </xf>
    <xf numFmtId="0" fontId="43" fillId="19" borderId="264" xfId="0" applyFont="1" applyFill="1" applyBorder="1" applyAlignment="1">
      <alignment horizontal="center" vertical="center"/>
    </xf>
    <xf numFmtId="41" fontId="43" fillId="0" borderId="264" xfId="11" applyFont="1" applyBorder="1" applyAlignment="1">
      <alignment horizontal="center" vertical="center"/>
    </xf>
    <xf numFmtId="41" fontId="43" fillId="0" borderId="264" xfId="11" applyFont="1" applyBorder="1" applyAlignment="1">
      <alignment horizontal="left" vertical="center"/>
    </xf>
    <xf numFmtId="0" fontId="66" fillId="0" borderId="152" xfId="0" applyFont="1" applyFill="1" applyBorder="1" applyAlignment="1" applyProtection="1">
      <alignment horizontal="center"/>
      <protection locked="0"/>
    </xf>
    <xf numFmtId="0" fontId="78" fillId="0" borderId="152" xfId="0" applyFont="1" applyFill="1" applyBorder="1" applyAlignment="1" applyProtection="1">
      <alignment horizontal="center"/>
      <protection locked="0"/>
    </xf>
    <xf numFmtId="0" fontId="80" fillId="0" borderId="152" xfId="0" applyFont="1" applyFill="1" applyBorder="1" applyAlignment="1" applyProtection="1">
      <alignment horizontal="center"/>
      <protection locked="0"/>
    </xf>
    <xf numFmtId="0" fontId="46" fillId="0" borderId="152" xfId="0" applyFont="1" applyFill="1" applyBorder="1" applyAlignment="1" applyProtection="1">
      <alignment horizontal="center"/>
      <protection locked="0"/>
    </xf>
    <xf numFmtId="41" fontId="19" fillId="15" borderId="264" xfId="11" applyFont="1" applyFill="1" applyBorder="1" applyAlignment="1">
      <alignment horizontal="left" vertical="center"/>
    </xf>
    <xf numFmtId="0" fontId="43" fillId="2" borderId="0" xfId="0" applyFont="1" applyFill="1" applyAlignment="1">
      <alignment vertical="center"/>
    </xf>
    <xf numFmtId="0" fontId="145" fillId="2" borderId="0" xfId="3" applyFont="1" applyFill="1" applyAlignment="1">
      <alignment vertical="center"/>
    </xf>
    <xf numFmtId="0" fontId="120" fillId="51" borderId="190" xfId="0" applyFont="1" applyFill="1" applyBorder="1" applyAlignment="1">
      <alignment horizontal="center" vertical="center" wrapText="1"/>
    </xf>
    <xf numFmtId="0" fontId="120" fillId="51" borderId="197" xfId="0" applyFont="1" applyFill="1" applyBorder="1" applyAlignment="1">
      <alignment horizontal="center" vertical="center" wrapText="1"/>
    </xf>
    <xf numFmtId="0" fontId="109" fillId="2" borderId="190" xfId="0" applyFont="1" applyFill="1" applyBorder="1" applyAlignment="1">
      <alignment horizontal="center" vertical="center"/>
    </xf>
    <xf numFmtId="0" fontId="109" fillId="0" borderId="0" xfId="0" applyFont="1"/>
    <xf numFmtId="188" fontId="109" fillId="2" borderId="106" xfId="1" applyNumberFormat="1" applyFont="1" applyFill="1" applyBorder="1" applyAlignment="1">
      <alignment vertical="center"/>
    </xf>
    <xf numFmtId="188" fontId="115" fillId="2" borderId="106" xfId="1" applyNumberFormat="1" applyFont="1" applyFill="1" applyBorder="1" applyAlignment="1">
      <alignment vertical="center"/>
    </xf>
    <xf numFmtId="177" fontId="109" fillId="2" borderId="106" xfId="2" applyNumberFormat="1" applyFont="1" applyFill="1" applyBorder="1" applyAlignment="1">
      <alignment vertical="center"/>
    </xf>
    <xf numFmtId="221" fontId="109" fillId="2" borderId="106" xfId="0" applyNumberFormat="1" applyFont="1" applyFill="1" applyBorder="1" applyAlignment="1">
      <alignment horizontal="center" vertical="center"/>
    </xf>
    <xf numFmtId="221" fontId="109" fillId="2" borderId="106" xfId="0" applyNumberFormat="1" applyFont="1" applyFill="1" applyBorder="1" applyAlignment="1">
      <alignment vertical="center"/>
    </xf>
    <xf numFmtId="219" fontId="109" fillId="2" borderId="106" xfId="1" applyNumberFormat="1" applyFont="1" applyFill="1" applyBorder="1" applyAlignment="1">
      <alignment vertical="center"/>
    </xf>
    <xf numFmtId="221" fontId="115" fillId="2" borderId="106" xfId="1" applyNumberFormat="1" applyFont="1" applyFill="1" applyBorder="1" applyAlignment="1">
      <alignment vertical="center"/>
    </xf>
    <xf numFmtId="223" fontId="109" fillId="2" borderId="106" xfId="1" applyNumberFormat="1" applyFont="1" applyFill="1" applyBorder="1" applyAlignment="1">
      <alignment vertical="center"/>
    </xf>
    <xf numFmtId="41" fontId="109" fillId="2" borderId="106" xfId="1" applyFont="1" applyFill="1" applyBorder="1" applyAlignment="1">
      <alignment horizontal="center" vertical="center" wrapText="1"/>
    </xf>
    <xf numFmtId="14" fontId="115" fillId="2" borderId="106" xfId="2" applyNumberFormat="1" applyFont="1" applyFill="1" applyBorder="1" applyAlignment="1">
      <alignment horizontal="center" vertical="center"/>
    </xf>
    <xf numFmtId="14" fontId="112" fillId="2" borderId="106" xfId="2" applyNumberFormat="1" applyFont="1" applyFill="1" applyBorder="1" applyAlignment="1">
      <alignment horizontal="center" vertical="center"/>
    </xf>
    <xf numFmtId="0" fontId="109" fillId="2" borderId="106" xfId="0" applyFont="1" applyFill="1" applyBorder="1" applyAlignment="1">
      <alignment wrapText="1"/>
    </xf>
    <xf numFmtId="9" fontId="115" fillId="2" borderId="106" xfId="2" applyFont="1" applyFill="1" applyBorder="1" applyAlignment="1">
      <alignment horizontal="center" vertical="center"/>
    </xf>
    <xf numFmtId="0" fontId="109" fillId="2" borderId="106" xfId="0" applyFont="1" applyFill="1" applyBorder="1" applyAlignment="1">
      <alignment horizontal="left" vertical="center" wrapText="1"/>
    </xf>
    <xf numFmtId="225" fontId="115" fillId="2" borderId="106" xfId="0" applyNumberFormat="1" applyFont="1" applyFill="1" applyBorder="1" applyAlignment="1">
      <alignment horizontal="center" vertical="center"/>
    </xf>
    <xf numFmtId="0" fontId="115" fillId="2" borderId="106" xfId="0" applyFont="1" applyFill="1" applyBorder="1" applyAlignment="1">
      <alignment horizontal="center" vertical="center"/>
    </xf>
    <xf numFmtId="41" fontId="115" fillId="2" borderId="0" xfId="1" applyFont="1" applyFill="1" applyBorder="1" applyAlignment="1">
      <alignment vertical="center"/>
    </xf>
    <xf numFmtId="0" fontId="114" fillId="51" borderId="194" xfId="0" applyFont="1" applyFill="1" applyBorder="1" applyAlignment="1">
      <alignment horizontal="centerContinuous" vertical="center"/>
    </xf>
    <xf numFmtId="0" fontId="114" fillId="51" borderId="195" xfId="0" applyFont="1" applyFill="1" applyBorder="1" applyAlignment="1">
      <alignment horizontal="centerContinuous" vertical="center"/>
    </xf>
    <xf numFmtId="0" fontId="114" fillId="51" borderId="196" xfId="0" applyFont="1" applyFill="1" applyBorder="1" applyAlignment="1">
      <alignment horizontal="centerContinuous" vertical="center"/>
    </xf>
    <xf numFmtId="222" fontId="109" fillId="2" borderId="106" xfId="1" applyNumberFormat="1" applyFont="1" applyFill="1" applyBorder="1" applyAlignment="1">
      <alignment vertical="center"/>
    </xf>
    <xf numFmtId="0" fontId="109" fillId="2" borderId="106" xfId="0" applyFont="1" applyFill="1" applyBorder="1" applyAlignment="1">
      <alignment horizontal="center" wrapText="1"/>
    </xf>
    <xf numFmtId="0" fontId="130" fillId="48" borderId="190" xfId="0" applyFont="1" applyFill="1" applyBorder="1" applyAlignment="1">
      <alignment horizontal="centerContinuous"/>
    </xf>
    <xf numFmtId="0" fontId="130" fillId="48" borderId="190" xfId="0" applyFont="1" applyFill="1" applyBorder="1" applyAlignment="1">
      <alignment horizontal="centerContinuous" vertical="center"/>
    </xf>
    <xf numFmtId="188" fontId="121" fillId="48" borderId="190" xfId="1" applyNumberFormat="1" applyFont="1" applyFill="1" applyBorder="1" applyAlignment="1">
      <alignment horizontal="right" vertical="center"/>
    </xf>
    <xf numFmtId="177" fontId="131" fillId="48" borderId="190" xfId="2" applyNumberFormat="1" applyFont="1" applyFill="1" applyBorder="1" applyAlignment="1">
      <alignment vertical="center"/>
    </xf>
    <xf numFmtId="9" fontId="132" fillId="48" borderId="190" xfId="2" applyFont="1" applyFill="1" applyBorder="1" applyAlignment="1">
      <alignment vertical="center"/>
    </xf>
    <xf numFmtId="188" fontId="130" fillId="48" borderId="190" xfId="1" applyNumberFormat="1" applyFont="1" applyFill="1" applyBorder="1" applyAlignment="1">
      <alignment horizontal="center" vertical="center"/>
    </xf>
    <xf numFmtId="0" fontId="133" fillId="48" borderId="190" xfId="0" applyFont="1" applyFill="1" applyBorder="1" applyAlignment="1">
      <alignment horizontal="center" vertical="center"/>
    </xf>
    <xf numFmtId="10" fontId="130" fillId="48" borderId="190" xfId="0" applyNumberFormat="1" applyFont="1" applyFill="1" applyBorder="1"/>
    <xf numFmtId="0" fontId="130" fillId="48" borderId="190" xfId="0" applyFont="1" applyFill="1" applyBorder="1"/>
    <xf numFmtId="0" fontId="131" fillId="48" borderId="190" xfId="0" applyFont="1" applyFill="1" applyBorder="1"/>
    <xf numFmtId="183" fontId="130" fillId="48" borderId="190" xfId="0" applyNumberFormat="1" applyFont="1" applyFill="1" applyBorder="1"/>
    <xf numFmtId="41" fontId="131" fillId="48" borderId="190" xfId="1" applyFont="1" applyFill="1" applyBorder="1" applyAlignment="1"/>
    <xf numFmtId="188" fontId="130" fillId="48" borderId="190" xfId="0" applyNumberFormat="1" applyFont="1" applyFill="1" applyBorder="1"/>
    <xf numFmtId="0" fontId="109" fillId="0" borderId="0" xfId="0" applyFont="1" applyBorder="1"/>
    <xf numFmtId="0" fontId="109" fillId="0" borderId="0" xfId="0" quotePrefix="1" applyFont="1" applyBorder="1"/>
    <xf numFmtId="0" fontId="112" fillId="0" borderId="0" xfId="4" applyFont="1" applyBorder="1">
      <alignment vertical="center"/>
    </xf>
    <xf numFmtId="0" fontId="154" fillId="0" borderId="268" xfId="4" applyFont="1" applyBorder="1">
      <alignment vertical="center"/>
    </xf>
    <xf numFmtId="0" fontId="109" fillId="0" borderId="0" xfId="0" applyFont="1" applyBorder="1" applyAlignment="1"/>
    <xf numFmtId="0" fontId="154" fillId="0" borderId="274" xfId="4" applyFont="1" applyBorder="1">
      <alignment vertical="center"/>
    </xf>
    <xf numFmtId="0" fontId="154" fillId="0" borderId="275" xfId="4" applyFont="1" applyBorder="1">
      <alignment vertical="center"/>
    </xf>
    <xf numFmtId="0" fontId="153" fillId="0" borderId="0" xfId="4" applyFont="1" applyBorder="1">
      <alignment vertical="center"/>
    </xf>
    <xf numFmtId="0" fontId="154" fillId="0" borderId="276" xfId="4" applyFont="1" applyBorder="1">
      <alignment vertical="center"/>
    </xf>
    <xf numFmtId="41" fontId="154" fillId="0" borderId="276" xfId="27" applyFont="1" applyBorder="1">
      <alignment vertical="center"/>
    </xf>
    <xf numFmtId="0" fontId="154" fillId="0" borderId="276" xfId="4" applyFont="1" applyFill="1" applyBorder="1">
      <alignment vertical="center"/>
    </xf>
    <xf numFmtId="41" fontId="154" fillId="0" borderId="276" xfId="27" applyFont="1" applyFill="1" applyBorder="1">
      <alignment vertical="center"/>
    </xf>
    <xf numFmtId="0" fontId="154" fillId="0" borderId="276" xfId="4" applyFont="1" applyFill="1" applyBorder="1" applyAlignment="1">
      <alignment horizontal="center" vertical="center"/>
    </xf>
    <xf numFmtId="0" fontId="154" fillId="27" borderId="276" xfId="4" applyFont="1" applyFill="1" applyBorder="1">
      <alignment vertical="center"/>
    </xf>
    <xf numFmtId="41" fontId="154" fillId="27" borderId="276" xfId="27" applyFont="1" applyFill="1" applyBorder="1">
      <alignment vertical="center"/>
    </xf>
    <xf numFmtId="0" fontId="154" fillId="0" borderId="269" xfId="4" applyFont="1" applyBorder="1">
      <alignment vertical="center"/>
    </xf>
    <xf numFmtId="0" fontId="154" fillId="0" borderId="277" xfId="4" applyFont="1" applyBorder="1">
      <alignment vertical="center"/>
    </xf>
    <xf numFmtId="0" fontId="154" fillId="0" borderId="276" xfId="4" applyFont="1" applyBorder="1" applyAlignment="1">
      <alignment horizontal="center" vertical="center"/>
    </xf>
    <xf numFmtId="0" fontId="154" fillId="27" borderId="276" xfId="4" applyFont="1" applyFill="1" applyBorder="1" applyAlignment="1">
      <alignment horizontal="center" vertical="center"/>
    </xf>
    <xf numFmtId="0" fontId="187" fillId="0" borderId="178" xfId="4" applyFont="1" applyBorder="1" applyAlignment="1">
      <alignment horizontal="center" vertical="center"/>
    </xf>
    <xf numFmtId="41" fontId="187" fillId="0" borderId="178" xfId="4" applyNumberFormat="1" applyFont="1" applyBorder="1">
      <alignment vertical="center"/>
    </xf>
    <xf numFmtId="0" fontId="225" fillId="2" borderId="0" xfId="4" applyFont="1" applyFill="1" applyBorder="1" applyAlignment="1">
      <alignment vertical="center"/>
    </xf>
    <xf numFmtId="0" fontId="184" fillId="0" borderId="0" xfId="4" applyFont="1" applyAlignment="1">
      <alignment vertical="center" wrapText="1"/>
    </xf>
    <xf numFmtId="0" fontId="154" fillId="0" borderId="191" xfId="4" applyFont="1" applyBorder="1">
      <alignment vertical="center"/>
    </xf>
    <xf numFmtId="0" fontId="154" fillId="0" borderId="195" xfId="4" applyFont="1" applyBorder="1">
      <alignment vertical="center"/>
    </xf>
    <xf numFmtId="0" fontId="109" fillId="0" borderId="196" xfId="4" applyFont="1" applyBorder="1">
      <alignment vertical="center"/>
    </xf>
    <xf numFmtId="0" fontId="109" fillId="0" borderId="190" xfId="4" applyFont="1" applyBorder="1">
      <alignment vertical="center"/>
    </xf>
    <xf numFmtId="0" fontId="112" fillId="0" borderId="0" xfId="4" applyFont="1" applyBorder="1" applyAlignment="1">
      <alignment vertical="center"/>
    </xf>
    <xf numFmtId="0" fontId="109" fillId="51" borderId="0" xfId="4" applyFont="1" applyFill="1">
      <alignment vertical="center"/>
    </xf>
    <xf numFmtId="0" fontId="114" fillId="51" borderId="190" xfId="4" applyFont="1" applyFill="1" applyBorder="1" applyAlignment="1">
      <alignment horizontal="center" vertical="center"/>
    </xf>
    <xf numFmtId="0" fontId="109" fillId="0" borderId="190" xfId="4" applyFont="1" applyBorder="1" applyAlignment="1">
      <alignment horizontal="center" vertical="center"/>
    </xf>
    <xf numFmtId="0" fontId="112" fillId="0" borderId="190" xfId="4" applyFont="1" applyBorder="1" applyAlignment="1">
      <alignment horizontal="center" vertical="center"/>
    </xf>
    <xf numFmtId="0" fontId="118" fillId="2" borderId="190" xfId="4" applyFont="1" applyFill="1" applyBorder="1" applyAlignment="1">
      <alignment horizontal="center" vertical="center"/>
    </xf>
    <xf numFmtId="0" fontId="116" fillId="2" borderId="190" xfId="4" applyFont="1" applyFill="1" applyBorder="1" applyAlignment="1">
      <alignment horizontal="center" vertical="center"/>
    </xf>
    <xf numFmtId="0" fontId="114" fillId="51" borderId="190" xfId="4" applyFont="1" applyFill="1" applyBorder="1" applyAlignment="1">
      <alignment horizontal="centerContinuous" vertical="center"/>
    </xf>
    <xf numFmtId="0" fontId="109" fillId="0" borderId="191" xfId="4" applyFont="1" applyBorder="1">
      <alignment vertical="center"/>
    </xf>
    <xf numFmtId="0" fontId="109" fillId="0" borderId="52" xfId="4" applyFont="1" applyBorder="1">
      <alignment vertical="center"/>
    </xf>
    <xf numFmtId="0" fontId="109" fillId="0" borderId="193" xfId="4" applyFont="1" applyBorder="1">
      <alignment vertical="center"/>
    </xf>
    <xf numFmtId="0" fontId="109" fillId="0" borderId="195" xfId="4" applyFont="1" applyBorder="1">
      <alignment vertical="center"/>
    </xf>
    <xf numFmtId="0" fontId="109" fillId="0" borderId="192" xfId="4" applyFont="1" applyBorder="1">
      <alignment vertical="center"/>
    </xf>
    <xf numFmtId="0" fontId="114" fillId="51" borderId="0" xfId="4" applyFont="1" applyFill="1" applyBorder="1" applyAlignment="1">
      <alignment horizontal="center" vertical="center"/>
    </xf>
    <xf numFmtId="0" fontId="185" fillId="30" borderId="0" xfId="4" applyFont="1" applyFill="1" applyBorder="1" applyAlignment="1">
      <alignment horizontal="center" vertical="center"/>
    </xf>
    <xf numFmtId="0" fontId="185" fillId="30" borderId="0" xfId="4" applyFont="1" applyFill="1" applyBorder="1" applyAlignment="1">
      <alignment vertical="center"/>
    </xf>
    <xf numFmtId="0" fontId="114" fillId="2" borderId="0" xfId="4" applyFont="1" applyFill="1" applyBorder="1" applyAlignment="1">
      <alignment horizontal="centerContinuous" vertical="center"/>
    </xf>
    <xf numFmtId="0" fontId="109" fillId="2" borderId="0" xfId="4" applyFont="1" applyFill="1" applyBorder="1" applyAlignment="1">
      <alignment horizontal="centerContinuous" vertical="center"/>
    </xf>
    <xf numFmtId="0" fontId="114" fillId="2" borderId="0" xfId="4" applyFont="1" applyFill="1" applyBorder="1" applyAlignment="1">
      <alignment horizontal="center" vertical="center"/>
    </xf>
    <xf numFmtId="0" fontId="109" fillId="0" borderId="0" xfId="4" applyFont="1" applyBorder="1" applyAlignment="1">
      <alignment horizontal="center" vertical="center"/>
    </xf>
    <xf numFmtId="0" fontId="114" fillId="2" borderId="0" xfId="4" applyFont="1" applyFill="1" applyBorder="1" applyAlignment="1">
      <alignment vertical="center"/>
    </xf>
    <xf numFmtId="0" fontId="109" fillId="2" borderId="0" xfId="4" applyFont="1" applyFill="1" applyBorder="1" applyAlignment="1">
      <alignment vertical="center"/>
    </xf>
    <xf numFmtId="0" fontId="109" fillId="2" borderId="0" xfId="4" applyFont="1" applyFill="1" applyBorder="1" applyAlignment="1">
      <alignment horizontal="center" vertical="center"/>
    </xf>
    <xf numFmtId="0" fontId="114" fillId="51" borderId="199" xfId="4" applyFont="1" applyFill="1" applyBorder="1" applyAlignment="1">
      <alignment horizontal="center" vertical="center"/>
    </xf>
    <xf numFmtId="0" fontId="109" fillId="2" borderId="190" xfId="4" applyFont="1" applyFill="1" applyBorder="1" applyAlignment="1">
      <alignment vertical="center"/>
    </xf>
    <xf numFmtId="0" fontId="109" fillId="51" borderId="190" xfId="4" applyFont="1" applyFill="1" applyBorder="1" applyAlignment="1">
      <alignment vertical="center"/>
    </xf>
    <xf numFmtId="0" fontId="109" fillId="2" borderId="191" xfId="4" applyFont="1" applyFill="1" applyBorder="1">
      <alignment vertical="center"/>
    </xf>
    <xf numFmtId="0" fontId="109" fillId="2" borderId="51" xfId="4" applyFont="1" applyFill="1" applyBorder="1">
      <alignment vertical="center"/>
    </xf>
    <xf numFmtId="0" fontId="109" fillId="2" borderId="190" xfId="4" applyFont="1" applyFill="1" applyBorder="1" applyAlignment="1">
      <alignment horizontal="center" vertical="center"/>
    </xf>
    <xf numFmtId="0" fontId="114" fillId="51" borderId="190" xfId="0" applyFont="1" applyFill="1" applyBorder="1" applyAlignment="1">
      <alignment horizontal="centerContinuous" vertical="center"/>
    </xf>
    <xf numFmtId="0" fontId="109" fillId="0" borderId="190" xfId="0" applyFont="1" applyBorder="1" applyAlignment="1">
      <alignment horizontal="center" vertical="center"/>
    </xf>
    <xf numFmtId="0" fontId="114" fillId="51" borderId="198" xfId="4" applyFont="1" applyFill="1" applyBorder="1" applyAlignment="1">
      <alignment horizontal="center" vertical="center"/>
    </xf>
    <xf numFmtId="0" fontId="109" fillId="0" borderId="190" xfId="4" applyFont="1" applyBorder="1" applyAlignment="1">
      <alignment vertical="center"/>
    </xf>
    <xf numFmtId="0" fontId="109" fillId="0" borderId="51" xfId="0" applyFont="1" applyBorder="1"/>
    <xf numFmtId="0" fontId="114" fillId="0" borderId="190" xfId="0" applyFont="1" applyBorder="1" applyAlignment="1">
      <alignment horizontal="center" vertical="center"/>
    </xf>
    <xf numFmtId="0" fontId="114" fillId="2" borderId="190" xfId="4" applyFont="1" applyFill="1" applyBorder="1" applyAlignment="1">
      <alignment horizontal="center" vertical="center"/>
    </xf>
    <xf numFmtId="0" fontId="114" fillId="2" borderId="192" xfId="4" applyFont="1" applyFill="1" applyBorder="1" applyAlignment="1">
      <alignment horizontal="center" vertical="center"/>
    </xf>
    <xf numFmtId="0" fontId="112" fillId="0" borderId="0" xfId="4" applyFont="1" applyBorder="1" applyAlignment="1">
      <alignment vertical="center" wrapText="1"/>
    </xf>
    <xf numFmtId="0" fontId="118" fillId="2" borderId="0" xfId="4" applyFont="1" applyFill="1" applyBorder="1" applyAlignment="1">
      <alignment horizontal="center" vertical="center"/>
    </xf>
    <xf numFmtId="0" fontId="116" fillId="2" borderId="0" xfId="4" applyFont="1" applyFill="1" applyBorder="1" applyAlignment="1">
      <alignment horizontal="center" vertical="center"/>
    </xf>
    <xf numFmtId="0" fontId="109" fillId="51" borderId="0" xfId="4" applyFont="1" applyFill="1" applyBorder="1" applyAlignment="1">
      <alignment horizontal="center" vertical="center"/>
    </xf>
    <xf numFmtId="41" fontId="154" fillId="2" borderId="0" xfId="1" applyFont="1" applyFill="1" applyBorder="1" applyAlignment="1">
      <alignment horizontal="center" vertical="center"/>
    </xf>
    <xf numFmtId="41" fontId="152" fillId="2" borderId="0" xfId="1" applyFont="1" applyFill="1" applyBorder="1" applyAlignment="1">
      <alignment horizontal="center" vertical="center"/>
    </xf>
    <xf numFmtId="41" fontId="152" fillId="2" borderId="0" xfId="27" applyFont="1" applyFill="1" applyBorder="1" applyAlignment="1">
      <alignment horizontal="center" vertical="center"/>
    </xf>
    <xf numFmtId="0" fontId="154" fillId="2" borderId="0" xfId="4" applyFont="1" applyFill="1" applyBorder="1" applyAlignment="1">
      <alignment horizontal="center" vertical="center"/>
    </xf>
    <xf numFmtId="0" fontId="226" fillId="35" borderId="0" xfId="4" applyFont="1" applyFill="1" applyBorder="1" applyAlignment="1">
      <alignment vertical="center"/>
    </xf>
    <xf numFmtId="0" fontId="227" fillId="35" borderId="0" xfId="4" applyFont="1" applyFill="1" applyBorder="1" applyAlignment="1">
      <alignment vertical="center"/>
    </xf>
    <xf numFmtId="0" fontId="229" fillId="35" borderId="0" xfId="3" applyFont="1" applyFill="1" applyAlignment="1">
      <alignment vertical="center"/>
    </xf>
    <xf numFmtId="0" fontId="229" fillId="35" borderId="0" xfId="3" applyFont="1" applyFill="1">
      <alignment vertical="center"/>
    </xf>
    <xf numFmtId="0" fontId="229" fillId="35" borderId="0" xfId="0" applyFont="1" applyFill="1" applyAlignment="1">
      <alignment vertical="center"/>
    </xf>
    <xf numFmtId="0" fontId="147" fillId="35" borderId="0" xfId="0" applyFont="1" applyFill="1" applyAlignment="1">
      <alignment vertical="center"/>
    </xf>
    <xf numFmtId="0" fontId="227" fillId="35" borderId="0" xfId="0" applyFont="1" applyFill="1" applyAlignment="1">
      <alignment vertical="center"/>
    </xf>
    <xf numFmtId="0" fontId="229" fillId="35" borderId="0" xfId="3" applyFont="1" applyFill="1" applyBorder="1" applyAlignment="1">
      <alignment vertical="center"/>
    </xf>
    <xf numFmtId="0" fontId="228" fillId="35" borderId="0" xfId="3" applyFont="1" applyFill="1" applyBorder="1" applyAlignment="1">
      <alignment horizontal="left" vertical="center"/>
    </xf>
    <xf numFmtId="0" fontId="229" fillId="35" borderId="0" xfId="3" applyFont="1" applyFill="1" applyBorder="1" applyAlignment="1">
      <alignment horizontal="left" vertical="center"/>
    </xf>
    <xf numFmtId="0" fontId="109" fillId="35" borderId="0" xfId="4" applyFont="1" applyFill="1" applyAlignment="1">
      <alignment horizontal="center" vertical="center"/>
    </xf>
    <xf numFmtId="0" fontId="171" fillId="35" borderId="0" xfId="4" applyFont="1" applyFill="1" applyBorder="1" applyAlignment="1">
      <alignment horizontal="center"/>
    </xf>
    <xf numFmtId="0" fontId="151" fillId="35" borderId="0" xfId="4" applyFont="1" applyFill="1" applyBorder="1" applyAlignment="1">
      <alignment horizontal="center"/>
    </xf>
    <xf numFmtId="0" fontId="228" fillId="2" borderId="0" xfId="3" applyFont="1" applyFill="1" applyBorder="1" applyAlignment="1">
      <alignment horizontal="left" vertical="center"/>
    </xf>
    <xf numFmtId="0" fontId="230" fillId="52" borderId="0" xfId="0" applyFont="1" applyFill="1" applyAlignment="1">
      <alignment vertical="center"/>
    </xf>
    <xf numFmtId="0" fontId="231" fillId="52" borderId="0" xfId="0" applyFont="1" applyFill="1" applyAlignment="1">
      <alignment vertical="center"/>
    </xf>
    <xf numFmtId="41" fontId="134" fillId="0" borderId="190" xfId="1" applyNumberFormat="1" applyFont="1" applyBorder="1" applyAlignment="1">
      <alignment vertical="center"/>
    </xf>
    <xf numFmtId="0" fontId="150" fillId="0" borderId="190" xfId="3" applyFont="1" applyFill="1" applyBorder="1" applyAlignment="1">
      <alignment horizontal="center" vertical="center" shrinkToFit="1"/>
    </xf>
    <xf numFmtId="0" fontId="232" fillId="35" borderId="0" xfId="3" applyFont="1" applyFill="1" applyBorder="1" applyAlignment="1">
      <alignment vertical="center"/>
    </xf>
    <xf numFmtId="0" fontId="150" fillId="2" borderId="190" xfId="3" applyFont="1" applyFill="1" applyBorder="1" applyAlignment="1">
      <alignment horizontal="center" vertical="center" shrinkToFit="1"/>
    </xf>
    <xf numFmtId="0" fontId="150" fillId="0" borderId="197" xfId="3" applyFont="1" applyFill="1" applyBorder="1" applyAlignment="1">
      <alignment horizontal="center" vertical="center" shrinkToFit="1"/>
    </xf>
    <xf numFmtId="177" fontId="150" fillId="0" borderId="190" xfId="2" applyNumberFormat="1" applyFont="1" applyFill="1" applyBorder="1" applyAlignment="1">
      <alignment vertical="center" shrinkToFit="1"/>
    </xf>
    <xf numFmtId="0" fontId="150" fillId="19" borderId="190" xfId="3" applyFont="1" applyFill="1" applyBorder="1" applyAlignment="1">
      <alignment horizontal="center" vertical="center" shrinkToFit="1"/>
    </xf>
    <xf numFmtId="0" fontId="150" fillId="37" borderId="190" xfId="3" applyFont="1" applyFill="1" applyBorder="1" applyAlignment="1">
      <alignment horizontal="centerContinuous" vertical="center"/>
    </xf>
    <xf numFmtId="3" fontId="150" fillId="0" borderId="190" xfId="3" applyNumberFormat="1" applyFont="1" applyBorder="1" applyAlignment="1">
      <alignment horizontal="centerContinuous" vertical="center"/>
    </xf>
    <xf numFmtId="41" fontId="134" fillId="0" borderId="190" xfId="5" applyFont="1" applyBorder="1" applyAlignment="1">
      <alignment horizontal="centerContinuous" vertical="center"/>
    </xf>
    <xf numFmtId="3" fontId="109" fillId="0" borderId="0" xfId="0" applyNumberFormat="1" applyFont="1" applyFill="1" applyAlignment="1">
      <alignment vertical="center"/>
    </xf>
    <xf numFmtId="0" fontId="194" fillId="51" borderId="155" xfId="3" applyFont="1" applyFill="1" applyBorder="1" applyAlignment="1">
      <alignment horizontal="center" vertical="center" shrinkToFit="1"/>
    </xf>
    <xf numFmtId="0" fontId="194" fillId="51" borderId="153" xfId="3" applyFont="1" applyFill="1" applyBorder="1" applyAlignment="1">
      <alignment horizontal="center" vertical="center" shrinkToFit="1"/>
    </xf>
    <xf numFmtId="0" fontId="194" fillId="51" borderId="156" xfId="3" applyFont="1" applyFill="1" applyBorder="1" applyAlignment="1">
      <alignment horizontal="center" vertical="center" shrinkToFit="1"/>
    </xf>
    <xf numFmtId="0" fontId="194" fillId="51" borderId="160" xfId="3" applyFont="1" applyFill="1" applyBorder="1" applyAlignment="1">
      <alignment horizontal="center" vertical="center" shrinkToFit="1"/>
    </xf>
    <xf numFmtId="0" fontId="194" fillId="51" borderId="161" xfId="3" applyFont="1" applyFill="1" applyBorder="1" applyAlignment="1">
      <alignment horizontal="center" vertical="center" shrinkToFit="1"/>
    </xf>
    <xf numFmtId="0" fontId="194" fillId="51" borderId="3" xfId="3" applyFont="1" applyFill="1" applyBorder="1" applyAlignment="1">
      <alignment horizontal="center" vertical="center" shrinkToFit="1"/>
    </xf>
    <xf numFmtId="41" fontId="194" fillId="32" borderId="278" xfId="5" applyFont="1" applyFill="1" applyBorder="1" applyAlignment="1">
      <alignment horizontal="right" vertical="center" wrapText="1"/>
    </xf>
    <xf numFmtId="41" fontId="194" fillId="32" borderId="82" xfId="5" applyFont="1" applyFill="1" applyBorder="1" applyAlignment="1">
      <alignment horizontal="right" vertical="center" shrinkToFit="1"/>
    </xf>
    <xf numFmtId="0" fontId="194" fillId="51" borderId="279" xfId="3" applyFont="1" applyFill="1" applyBorder="1" applyAlignment="1">
      <alignment horizontal="center" vertical="center" shrinkToFit="1"/>
    </xf>
    <xf numFmtId="0" fontId="194" fillId="51" borderId="280" xfId="3" applyFont="1" applyFill="1" applyBorder="1" applyAlignment="1">
      <alignment horizontal="center" vertical="center" shrinkToFit="1"/>
    </xf>
    <xf numFmtId="0" fontId="194" fillId="51" borderId="115" xfId="3" applyFont="1" applyFill="1" applyBorder="1" applyAlignment="1">
      <alignment horizontal="center" vertical="center" shrinkToFit="1"/>
    </xf>
    <xf numFmtId="0" fontId="202" fillId="51" borderId="250" xfId="4" applyFont="1" applyFill="1" applyBorder="1" applyAlignment="1">
      <alignment horizontal="center" vertical="center"/>
    </xf>
    <xf numFmtId="0" fontId="201" fillId="51" borderId="250" xfId="4" applyFont="1" applyFill="1" applyBorder="1" applyAlignment="1">
      <alignment horizontal="center" vertical="center"/>
    </xf>
    <xf numFmtId="0" fontId="233" fillId="51" borderId="250" xfId="4" applyFont="1" applyFill="1" applyBorder="1" applyAlignment="1">
      <alignment horizontal="center" vertical="center"/>
    </xf>
    <xf numFmtId="41" fontId="233" fillId="51" borderId="250" xfId="27" applyFont="1" applyFill="1" applyBorder="1">
      <alignment vertical="center"/>
    </xf>
    <xf numFmtId="0" fontId="234" fillId="0" borderId="0" xfId="4" applyFont="1" applyAlignment="1">
      <alignment horizontal="right" vertical="center"/>
    </xf>
    <xf numFmtId="208" fontId="235" fillId="35" borderId="0" xfId="42" applyFont="1" applyFill="1">
      <alignment vertical="center"/>
    </xf>
    <xf numFmtId="17" fontId="125" fillId="35" borderId="0" xfId="43" applyNumberFormat="1" applyFont="1" applyFill="1" applyBorder="1" applyAlignment="1" applyProtection="1">
      <alignment vertical="center"/>
    </xf>
    <xf numFmtId="0" fontId="236" fillId="35" borderId="0" xfId="41" applyFont="1" applyFill="1"/>
    <xf numFmtId="41" fontId="109" fillId="0" borderId="190" xfId="5" applyNumberFormat="1" applyFont="1" applyFill="1" applyBorder="1" applyAlignment="1" applyProtection="1">
      <alignment horizontal="left" vertical="center"/>
    </xf>
    <xf numFmtId="41" fontId="134" fillId="0" borderId="190" xfId="5" applyNumberFormat="1" applyFont="1" applyFill="1" applyBorder="1" applyAlignment="1" applyProtection="1">
      <alignment horizontal="left" vertical="center" shrinkToFit="1"/>
    </xf>
    <xf numFmtId="215" fontId="109" fillId="0" borderId="190" xfId="45" applyNumberFormat="1" applyFont="1" applyBorder="1" applyAlignment="1">
      <alignment horizontal="center" vertical="center"/>
    </xf>
    <xf numFmtId="215" fontId="109" fillId="0" borderId="190" xfId="45" applyNumberFormat="1" applyFont="1" applyBorder="1" applyAlignment="1">
      <alignment horizontal="center" vertical="center" shrinkToFit="1"/>
    </xf>
    <xf numFmtId="0" fontId="211" fillId="0" borderId="190" xfId="46" applyNumberFormat="1" applyFont="1" applyBorder="1" applyAlignment="1">
      <alignment horizontal="center" vertical="center"/>
    </xf>
    <xf numFmtId="0" fontId="165" fillId="0" borderId="190" xfId="46" applyNumberFormat="1" applyFont="1" applyBorder="1" applyAlignment="1">
      <alignment horizontal="center" vertical="center"/>
    </xf>
    <xf numFmtId="41" fontId="109" fillId="0" borderId="190" xfId="5" applyNumberFormat="1" applyFont="1" applyFill="1" applyBorder="1" applyAlignment="1">
      <alignment horizontal="center" vertical="center"/>
    </xf>
    <xf numFmtId="41" fontId="134" fillId="0" borderId="190" xfId="5" applyNumberFormat="1" applyFont="1" applyFill="1" applyBorder="1" applyAlignment="1" applyProtection="1">
      <alignment horizontal="left" vertical="center"/>
    </xf>
    <xf numFmtId="190" fontId="109" fillId="0" borderId="190" xfId="45" applyNumberFormat="1" applyFont="1" applyBorder="1" applyAlignment="1">
      <alignment horizontal="center" vertical="center"/>
    </xf>
    <xf numFmtId="0" fontId="239" fillId="0" borderId="190" xfId="46" applyNumberFormat="1" applyFont="1" applyBorder="1" applyAlignment="1">
      <alignment horizontal="center" vertical="center"/>
    </xf>
    <xf numFmtId="0" fontId="166" fillId="0" borderId="190" xfId="46" applyNumberFormat="1" applyFont="1" applyBorder="1" applyAlignment="1">
      <alignment horizontal="center" vertical="center" shrinkToFit="1"/>
    </xf>
    <xf numFmtId="0" fontId="215" fillId="0" borderId="190" xfId="46" applyNumberFormat="1" applyFont="1" applyBorder="1" applyAlignment="1">
      <alignment horizontal="center" vertical="center"/>
    </xf>
    <xf numFmtId="0" fontId="240" fillId="0" borderId="190" xfId="46" applyNumberFormat="1" applyFont="1" applyBorder="1" applyAlignment="1">
      <alignment horizontal="center" vertical="center"/>
    </xf>
    <xf numFmtId="0" fontId="241" fillId="0" borderId="190" xfId="46" applyNumberFormat="1" applyFont="1" applyBorder="1" applyAlignment="1">
      <alignment horizontal="center" vertical="center"/>
    </xf>
    <xf numFmtId="41" fontId="109" fillId="41" borderId="190" xfId="5" applyNumberFormat="1" applyFont="1" applyFill="1" applyBorder="1" applyAlignment="1" applyProtection="1">
      <alignment horizontal="left" vertical="center"/>
    </xf>
    <xf numFmtId="41" fontId="134" fillId="41" borderId="190" xfId="5" applyNumberFormat="1" applyFont="1" applyFill="1" applyBorder="1" applyAlignment="1" applyProtection="1">
      <alignment horizontal="left" vertical="center"/>
    </xf>
    <xf numFmtId="215" fontId="109" fillId="41" borderId="190" xfId="45" applyNumberFormat="1" applyFont="1" applyFill="1" applyBorder="1" applyAlignment="1">
      <alignment horizontal="center" vertical="center"/>
    </xf>
    <xf numFmtId="0" fontId="211" fillId="41" borderId="190" xfId="46" applyNumberFormat="1" applyFont="1" applyFill="1" applyBorder="1" applyAlignment="1">
      <alignment horizontal="center" vertical="center"/>
    </xf>
    <xf numFmtId="0" fontId="165" fillId="41" borderId="190" xfId="46" applyNumberFormat="1" applyFont="1" applyFill="1" applyBorder="1" applyAlignment="1">
      <alignment horizontal="center" vertical="center"/>
    </xf>
    <xf numFmtId="0" fontId="238" fillId="0" borderId="190" xfId="46" applyNumberFormat="1" applyFont="1" applyBorder="1" applyAlignment="1">
      <alignment horizontal="center" vertical="center"/>
    </xf>
    <xf numFmtId="0" fontId="242" fillId="0" borderId="190" xfId="46" applyNumberFormat="1" applyFont="1" applyBorder="1" applyAlignment="1">
      <alignment horizontal="center" vertical="center"/>
    </xf>
    <xf numFmtId="0" fontId="167" fillId="0" borderId="190" xfId="46" applyNumberFormat="1" applyFont="1" applyBorder="1" applyAlignment="1">
      <alignment horizontal="center" vertical="center"/>
    </xf>
    <xf numFmtId="0" fontId="243" fillId="0" borderId="190" xfId="46" applyNumberFormat="1" applyFont="1" applyBorder="1" applyAlignment="1">
      <alignment horizontal="center" vertical="center"/>
    </xf>
    <xf numFmtId="41" fontId="134" fillId="41" borderId="190" xfId="5" applyNumberFormat="1" applyFont="1" applyFill="1" applyBorder="1" applyAlignment="1" applyProtection="1">
      <alignment horizontal="left" vertical="center" shrinkToFit="1"/>
    </xf>
    <xf numFmtId="215" fontId="109" fillId="41" borderId="190" xfId="45" applyNumberFormat="1" applyFont="1" applyFill="1" applyBorder="1" applyAlignment="1">
      <alignment horizontal="center" vertical="center" shrinkToFit="1"/>
    </xf>
    <xf numFmtId="0" fontId="244" fillId="0" borderId="190" xfId="46" applyNumberFormat="1" applyFont="1" applyBorder="1" applyAlignment="1">
      <alignment horizontal="center" vertical="center"/>
    </xf>
    <xf numFmtId="41" fontId="109" fillId="42" borderId="190" xfId="5" applyNumberFormat="1" applyFont="1" applyFill="1" applyBorder="1" applyAlignment="1" applyProtection="1">
      <alignment horizontal="left" vertical="center"/>
    </xf>
    <xf numFmtId="41" fontId="134" fillId="42" borderId="190" xfId="5" applyNumberFormat="1" applyFont="1" applyFill="1" applyBorder="1" applyAlignment="1">
      <alignment vertical="center"/>
    </xf>
    <xf numFmtId="215" fontId="109" fillId="42" borderId="190" xfId="45" applyNumberFormat="1" applyFont="1" applyFill="1" applyBorder="1" applyAlignment="1">
      <alignment horizontal="center" vertical="center"/>
    </xf>
    <xf numFmtId="215" fontId="241" fillId="42" borderId="190" xfId="45" applyNumberFormat="1" applyFont="1" applyFill="1" applyBorder="1" applyAlignment="1">
      <alignment horizontal="center" vertical="center"/>
    </xf>
    <xf numFmtId="215" fontId="165" fillId="42" borderId="190" xfId="45" applyNumberFormat="1" applyFont="1" applyFill="1" applyBorder="1" applyAlignment="1">
      <alignment horizontal="center" vertical="center"/>
    </xf>
    <xf numFmtId="215" fontId="239" fillId="42" borderId="190" xfId="45" applyNumberFormat="1" applyFont="1" applyFill="1" applyBorder="1" applyAlignment="1">
      <alignment horizontal="center" vertical="center"/>
    </xf>
    <xf numFmtId="215" fontId="240" fillId="42" borderId="190" xfId="45" applyNumberFormat="1" applyFont="1" applyFill="1" applyBorder="1" applyAlignment="1">
      <alignment horizontal="center" vertical="center"/>
    </xf>
    <xf numFmtId="41" fontId="109" fillId="0" borderId="190" xfId="5" applyNumberFormat="1" applyFont="1" applyFill="1" applyBorder="1" applyAlignment="1">
      <alignment vertical="center"/>
    </xf>
    <xf numFmtId="41" fontId="241" fillId="0" borderId="190" xfId="5" applyNumberFormat="1" applyFont="1" applyFill="1" applyBorder="1" applyAlignment="1">
      <alignment vertical="center"/>
    </xf>
    <xf numFmtId="0" fontId="211" fillId="0" borderId="190" xfId="46" applyNumberFormat="1" applyFont="1" applyBorder="1" applyAlignment="1">
      <alignment horizontal="center" vertical="center" wrapText="1"/>
    </xf>
    <xf numFmtId="41" fontId="109" fillId="40" borderId="190" xfId="5" applyNumberFormat="1" applyFont="1" applyFill="1" applyBorder="1" applyAlignment="1">
      <alignment vertical="center"/>
    </xf>
    <xf numFmtId="41" fontId="241" fillId="40" borderId="190" xfId="5" applyNumberFormat="1" applyFont="1" applyFill="1" applyBorder="1" applyAlignment="1">
      <alignment horizontal="center" vertical="center"/>
    </xf>
    <xf numFmtId="0" fontId="211" fillId="40" borderId="190" xfId="46" applyNumberFormat="1" applyFont="1" applyFill="1" applyBorder="1" applyAlignment="1">
      <alignment horizontal="center" vertical="center" wrapText="1"/>
    </xf>
    <xf numFmtId="0" fontId="211" fillId="40" borderId="190" xfId="46" applyNumberFormat="1" applyFont="1" applyFill="1" applyBorder="1" applyAlignment="1">
      <alignment horizontal="center" vertical="center"/>
    </xf>
    <xf numFmtId="0" fontId="239" fillId="40" borderId="190" xfId="46" applyNumberFormat="1" applyFont="1" applyFill="1" applyBorder="1" applyAlignment="1">
      <alignment horizontal="center" vertical="center"/>
    </xf>
    <xf numFmtId="0" fontId="165" fillId="40" borderId="190" xfId="46" applyNumberFormat="1" applyFont="1" applyFill="1" applyBorder="1" applyAlignment="1">
      <alignment horizontal="center" vertical="center"/>
    </xf>
    <xf numFmtId="0" fontId="215" fillId="40" borderId="190" xfId="46" applyNumberFormat="1" applyFont="1" applyFill="1" applyBorder="1" applyAlignment="1">
      <alignment horizontal="center" vertical="center"/>
    </xf>
    <xf numFmtId="41" fontId="243" fillId="0" borderId="190" xfId="5" applyNumberFormat="1" applyFont="1" applyFill="1" applyBorder="1" applyAlignment="1">
      <alignment vertical="center" shrinkToFit="1"/>
    </xf>
    <xf numFmtId="41" fontId="134" fillId="0" borderId="190" xfId="5" applyNumberFormat="1" applyFont="1" applyFill="1" applyBorder="1" applyAlignment="1" applyProtection="1">
      <alignment horizontal="center" vertical="center"/>
    </xf>
    <xf numFmtId="0" fontId="211" fillId="0" borderId="190" xfId="46" applyNumberFormat="1" applyFont="1" applyBorder="1" applyAlignment="1">
      <alignment horizontal="center" vertical="center" shrinkToFit="1"/>
    </xf>
    <xf numFmtId="215" fontId="115" fillId="0" borderId="190" xfId="45" applyNumberFormat="1" applyFont="1" applyBorder="1" applyAlignment="1">
      <alignment vertical="center"/>
    </xf>
    <xf numFmtId="215" fontId="109" fillId="0" borderId="190" xfId="45" applyNumberFormat="1" applyFont="1" applyBorder="1" applyAlignment="1">
      <alignment vertical="center"/>
    </xf>
    <xf numFmtId="41" fontId="241" fillId="0" borderId="190" xfId="5" applyNumberFormat="1" applyFont="1" applyFill="1" applyBorder="1" applyAlignment="1">
      <alignment horizontal="center" vertical="center" shrinkToFit="1"/>
    </xf>
    <xf numFmtId="0" fontId="166" fillId="0" borderId="190" xfId="46" applyNumberFormat="1" applyFont="1" applyBorder="1" applyAlignment="1">
      <alignment horizontal="center" vertical="center"/>
    </xf>
    <xf numFmtId="215" fontId="238" fillId="40" borderId="0" xfId="45" applyNumberFormat="1" applyFont="1" applyFill="1" applyBorder="1" applyAlignment="1">
      <alignment horizontal="center" vertical="center"/>
    </xf>
    <xf numFmtId="215" fontId="238" fillId="40" borderId="0" xfId="45" applyNumberFormat="1" applyFont="1" applyFill="1" applyBorder="1" applyAlignment="1">
      <alignment horizontal="center" vertical="center" shrinkToFit="1"/>
    </xf>
    <xf numFmtId="215" fontId="237" fillId="51" borderId="190" xfId="45" applyNumberFormat="1" applyFont="1" applyFill="1" applyBorder="1" applyAlignment="1">
      <alignment horizontal="center" vertical="center" shrinkToFit="1"/>
    </xf>
    <xf numFmtId="215" fontId="237" fillId="40" borderId="51" xfId="45" applyNumberFormat="1" applyFont="1" applyFill="1" applyBorder="1" applyAlignment="1">
      <alignment horizontal="left" vertical="center"/>
    </xf>
    <xf numFmtId="215" fontId="238" fillId="40" borderId="191" xfId="45" applyNumberFormat="1" applyFont="1" applyFill="1" applyBorder="1" applyAlignment="1">
      <alignment horizontal="center" vertical="center"/>
    </xf>
    <xf numFmtId="215" fontId="238" fillId="40" borderId="192" xfId="45" applyNumberFormat="1" applyFont="1" applyFill="1" applyBorder="1" applyAlignment="1">
      <alignment vertical="center"/>
    </xf>
    <xf numFmtId="215" fontId="237" fillId="42" borderId="281" xfId="45" applyNumberFormat="1" applyFont="1" applyFill="1" applyBorder="1" applyAlignment="1">
      <alignment vertical="center"/>
    </xf>
    <xf numFmtId="215" fontId="241" fillId="42" borderId="192" xfId="45" applyNumberFormat="1" applyFont="1" applyFill="1" applyBorder="1" applyAlignment="1">
      <alignment vertical="center" textRotation="180"/>
    </xf>
    <xf numFmtId="215" fontId="241" fillId="42" borderId="106" xfId="45" applyNumberFormat="1" applyFont="1" applyFill="1" applyBorder="1" applyAlignment="1">
      <alignment vertical="center" textRotation="180"/>
    </xf>
    <xf numFmtId="215" fontId="238" fillId="40" borderId="193" xfId="45" applyNumberFormat="1" applyFont="1" applyFill="1" applyBorder="1" applyAlignment="1">
      <alignment horizontal="center" vertical="center" shrinkToFit="1"/>
    </xf>
    <xf numFmtId="0" fontId="145" fillId="0" borderId="190" xfId="0" applyFont="1" applyBorder="1" applyAlignment="1">
      <alignment horizontal="center" vertical="center"/>
    </xf>
    <xf numFmtId="197" fontId="145" fillId="0" borderId="190" xfId="0" applyNumberFormat="1" applyFont="1" applyBorder="1" applyAlignment="1">
      <alignment horizontal="center" vertical="center"/>
    </xf>
    <xf numFmtId="41" fontId="112" fillId="0" borderId="190" xfId="0" applyNumberFormat="1" applyFont="1" applyFill="1" applyBorder="1" applyAlignment="1">
      <alignment horizontal="center" vertical="center"/>
    </xf>
    <xf numFmtId="41" fontId="145" fillId="0" borderId="190" xfId="0" applyNumberFormat="1" applyFont="1" applyBorder="1" applyAlignment="1">
      <alignment horizontal="center" vertical="center"/>
    </xf>
    <xf numFmtId="41" fontId="145" fillId="0" borderId="190" xfId="0" applyNumberFormat="1" applyFont="1" applyFill="1" applyBorder="1" applyAlignment="1">
      <alignment horizontal="center" vertical="center"/>
    </xf>
    <xf numFmtId="197" fontId="145" fillId="0" borderId="190" xfId="0" quotePrefix="1" applyNumberFormat="1" applyFont="1" applyBorder="1" applyAlignment="1">
      <alignment horizontal="center" vertical="center"/>
    </xf>
    <xf numFmtId="14" fontId="145" fillId="0" borderId="190" xfId="0" applyNumberFormat="1" applyFont="1" applyBorder="1" applyAlignment="1">
      <alignment horizontal="center" vertical="center"/>
    </xf>
    <xf numFmtId="0" fontId="146" fillId="2" borderId="190" xfId="0" applyFont="1" applyFill="1" applyBorder="1" applyAlignment="1">
      <alignment vertical="center"/>
    </xf>
    <xf numFmtId="0" fontId="145" fillId="2" borderId="190" xfId="0" applyFont="1" applyFill="1" applyBorder="1" applyAlignment="1">
      <alignment horizontal="center" vertical="center"/>
    </xf>
    <xf numFmtId="188" fontId="115" fillId="2" borderId="190" xfId="11" applyNumberFormat="1" applyFont="1" applyFill="1" applyBorder="1">
      <alignment vertical="center"/>
    </xf>
    <xf numFmtId="41" fontId="115" fillId="2" borderId="190" xfId="11" applyNumberFormat="1" applyFont="1" applyFill="1" applyBorder="1">
      <alignment vertical="center"/>
    </xf>
    <xf numFmtId="0" fontId="146" fillId="2" borderId="190" xfId="0" applyFont="1" applyFill="1" applyBorder="1" applyAlignment="1">
      <alignment horizontal="center" vertical="center"/>
    </xf>
    <xf numFmtId="41" fontId="146" fillId="2" borderId="190" xfId="11" applyFont="1" applyFill="1" applyBorder="1">
      <alignment vertical="center"/>
    </xf>
    <xf numFmtId="0" fontId="116" fillId="51" borderId="190" xfId="0" applyFont="1" applyFill="1" applyBorder="1" applyAlignment="1">
      <alignment vertical="center"/>
    </xf>
    <xf numFmtId="41" fontId="116" fillId="51" borderId="190" xfId="0" applyNumberFormat="1" applyFont="1" applyFill="1" applyBorder="1" applyAlignment="1">
      <alignment vertical="center"/>
    </xf>
    <xf numFmtId="197" fontId="145" fillId="0" borderId="190" xfId="0" applyNumberFormat="1" applyFont="1" applyFill="1" applyBorder="1" applyAlignment="1">
      <alignment horizontal="center" vertical="center"/>
    </xf>
    <xf numFmtId="197" fontId="145" fillId="0" borderId="190" xfId="0" applyNumberFormat="1" applyFont="1" applyBorder="1" applyAlignment="1">
      <alignment horizontal="left" vertical="center"/>
    </xf>
    <xf numFmtId="14" fontId="145" fillId="0" borderId="190" xfId="0" applyNumberFormat="1" applyFont="1" applyFill="1" applyBorder="1" applyAlignment="1">
      <alignment horizontal="center" vertical="center"/>
    </xf>
    <xf numFmtId="0" fontId="145" fillId="0" borderId="190" xfId="0" applyFont="1" applyFill="1" applyBorder="1" applyAlignment="1">
      <alignment horizontal="center" vertical="center"/>
    </xf>
    <xf numFmtId="197" fontId="145" fillId="0" borderId="190" xfId="0" applyNumberFormat="1" applyFont="1" applyFill="1" applyBorder="1" applyAlignment="1">
      <alignment horizontal="left" vertical="center"/>
    </xf>
    <xf numFmtId="197" fontId="150" fillId="0" borderId="190" xfId="0" applyNumberFormat="1" applyFont="1" applyFill="1" applyBorder="1" applyAlignment="1">
      <alignment horizontal="left" vertical="center"/>
    </xf>
    <xf numFmtId="41" fontId="146" fillId="51" borderId="190" xfId="0" applyNumberFormat="1" applyFont="1" applyFill="1" applyBorder="1" applyAlignment="1">
      <alignment vertical="center"/>
    </xf>
    <xf numFmtId="43" fontId="145" fillId="2" borderId="190" xfId="0" applyNumberFormat="1" applyFont="1" applyFill="1" applyBorder="1" applyAlignment="1">
      <alignment horizontal="center" vertical="center"/>
    </xf>
    <xf numFmtId="0" fontId="146" fillId="51" borderId="190" xfId="0" applyFont="1" applyFill="1" applyBorder="1" applyAlignment="1">
      <alignment horizontal="centerContinuous" vertical="center"/>
    </xf>
    <xf numFmtId="43" fontId="150" fillId="2" borderId="190" xfId="0" applyNumberFormat="1" applyFont="1" applyFill="1" applyBorder="1" applyAlignment="1">
      <alignment horizontal="center" vertical="center"/>
    </xf>
    <xf numFmtId="0" fontId="145" fillId="51" borderId="190" xfId="0" applyFont="1" applyFill="1" applyBorder="1" applyAlignment="1">
      <alignment horizontal="center" vertical="center"/>
    </xf>
    <xf numFmtId="41" fontId="116" fillId="51" borderId="190" xfId="50" applyNumberFormat="1" applyFont="1" applyFill="1" applyBorder="1" applyAlignment="1">
      <alignment vertical="center"/>
    </xf>
    <xf numFmtId="0" fontId="158" fillId="51" borderId="190" xfId="3" applyFont="1" applyFill="1" applyBorder="1" applyAlignment="1">
      <alignment horizontal="center" vertical="center" shrinkToFit="1"/>
    </xf>
    <xf numFmtId="0" fontId="119" fillId="51" borderId="190" xfId="0" applyFont="1" applyFill="1" applyBorder="1" applyAlignment="1">
      <alignment horizontal="centerContinuous" vertical="center"/>
    </xf>
    <xf numFmtId="0" fontId="158" fillId="51" borderId="190" xfId="3" applyFont="1" applyFill="1" applyBorder="1" applyAlignment="1">
      <alignment horizontal="center" vertical="center" wrapText="1" shrinkToFit="1"/>
    </xf>
    <xf numFmtId="0" fontId="118" fillId="51" borderId="190" xfId="3" applyFont="1" applyFill="1" applyBorder="1" applyAlignment="1">
      <alignment vertical="center" shrinkToFit="1"/>
    </xf>
    <xf numFmtId="177" fontId="118" fillId="51" borderId="190" xfId="2" applyNumberFormat="1" applyFont="1" applyFill="1" applyBorder="1" applyAlignment="1">
      <alignment vertical="center" shrinkToFit="1"/>
    </xf>
    <xf numFmtId="0" fontId="152" fillId="0" borderId="0" xfId="3" applyFont="1" applyBorder="1" applyAlignment="1">
      <alignment horizontal="right"/>
    </xf>
    <xf numFmtId="0" fontId="158" fillId="51" borderId="190" xfId="3" applyFont="1" applyFill="1" applyBorder="1" applyAlignment="1">
      <alignment horizontal="centerContinuous" vertical="center"/>
    </xf>
    <xf numFmtId="41" fontId="109" fillId="0" borderId="0" xfId="1" applyFont="1" applyAlignment="1">
      <alignment horizontal="left" vertical="center"/>
    </xf>
    <xf numFmtId="0" fontId="114" fillId="51" borderId="192" xfId="0" applyFont="1" applyFill="1" applyBorder="1"/>
    <xf numFmtId="0" fontId="114" fillId="51" borderId="0" xfId="0" applyFont="1" applyFill="1" applyBorder="1"/>
    <xf numFmtId="0" fontId="114" fillId="51" borderId="193" xfId="0" applyFont="1" applyFill="1" applyBorder="1"/>
    <xf numFmtId="0" fontId="114" fillId="51" borderId="194" xfId="0" applyFont="1" applyFill="1" applyBorder="1"/>
    <xf numFmtId="0" fontId="114" fillId="51" borderId="195" xfId="0" applyFont="1" applyFill="1" applyBorder="1"/>
    <xf numFmtId="0" fontId="114" fillId="51" borderId="196" xfId="0" applyFont="1" applyFill="1" applyBorder="1"/>
    <xf numFmtId="9" fontId="159" fillId="51" borderId="190" xfId="23" applyFont="1" applyFill="1" applyBorder="1" applyAlignment="1" applyProtection="1">
      <alignment horizontal="center" vertical="center" wrapText="1"/>
    </xf>
    <xf numFmtId="49" fontId="155" fillId="51" borderId="190" xfId="4" applyNumberFormat="1" applyFont="1" applyFill="1" applyBorder="1" applyAlignment="1" applyProtection="1">
      <alignment horizontal="centerContinuous" vertical="center" wrapText="1"/>
    </xf>
    <xf numFmtId="186" fontId="155" fillId="51" borderId="190" xfId="4" applyNumberFormat="1" applyFont="1" applyFill="1" applyBorder="1" applyAlignment="1">
      <alignment horizontal="right" vertical="center" shrinkToFit="1"/>
    </xf>
    <xf numFmtId="0" fontId="182" fillId="51" borderId="76" xfId="4" applyFont="1" applyFill="1" applyBorder="1" applyAlignment="1">
      <alignment horizontal="center" vertical="center"/>
    </xf>
    <xf numFmtId="189" fontId="182" fillId="51" borderId="190" xfId="5" applyNumberFormat="1" applyFont="1" applyFill="1" applyBorder="1" applyAlignment="1">
      <alignment horizontal="center" vertical="center" wrapText="1"/>
    </xf>
    <xf numFmtId="14" fontId="180" fillId="2" borderId="190" xfId="5" applyNumberFormat="1" applyFont="1" applyFill="1" applyBorder="1" applyAlignment="1">
      <alignment horizontal="center" vertical="center" wrapText="1"/>
    </xf>
    <xf numFmtId="43" fontId="179" fillId="2" borderId="190" xfId="1" applyNumberFormat="1" applyFont="1" applyFill="1" applyBorder="1" applyAlignment="1">
      <alignment horizontal="center" vertical="center" wrapText="1"/>
    </xf>
    <xf numFmtId="10" fontId="109" fillId="2" borderId="190" xfId="5" applyNumberFormat="1" applyFont="1" applyFill="1" applyBorder="1" applyAlignment="1">
      <alignment horizontal="center" vertical="center" wrapText="1"/>
    </xf>
    <xf numFmtId="188" fontId="179" fillId="2" borderId="190" xfId="5" applyNumberFormat="1" applyFont="1" applyFill="1" applyBorder="1" applyAlignment="1">
      <alignment horizontal="center" vertical="center" wrapText="1"/>
    </xf>
    <xf numFmtId="10" fontId="179" fillId="2" borderId="190" xfId="5" applyNumberFormat="1" applyFont="1" applyFill="1" applyBorder="1" applyAlignment="1">
      <alignment horizontal="center" vertical="center" wrapText="1"/>
    </xf>
    <xf numFmtId="0" fontId="180" fillId="51" borderId="190" xfId="4" applyFont="1" applyFill="1" applyBorder="1" applyAlignment="1">
      <alignment horizontal="center" vertical="center"/>
    </xf>
    <xf numFmtId="188" fontId="180" fillId="51" borderId="190" xfId="5" applyNumberFormat="1" applyFont="1" applyFill="1" applyBorder="1" applyAlignment="1">
      <alignment horizontal="right" vertical="center"/>
    </xf>
    <xf numFmtId="177" fontId="180" fillId="51" borderId="190" xfId="23" applyNumberFormat="1" applyFont="1" applyFill="1" applyBorder="1" applyAlignment="1">
      <alignment horizontal="center" vertical="center"/>
    </xf>
    <xf numFmtId="188" fontId="180" fillId="51" borderId="190" xfId="5" applyNumberFormat="1" applyFont="1" applyFill="1" applyBorder="1" applyAlignment="1">
      <alignment vertical="center"/>
    </xf>
    <xf numFmtId="0" fontId="182" fillId="51" borderId="190" xfId="4" applyFont="1" applyFill="1" applyBorder="1" applyAlignment="1">
      <alignment horizontal="center" vertical="center"/>
    </xf>
    <xf numFmtId="41" fontId="179" fillId="4" borderId="190" xfId="5" applyFont="1" applyFill="1" applyBorder="1" applyAlignment="1">
      <alignment horizontal="center" vertical="center"/>
    </xf>
    <xf numFmtId="186" fontId="179" fillId="4" borderId="190" xfId="5" applyNumberFormat="1" applyFont="1" applyFill="1" applyBorder="1" applyAlignment="1">
      <alignment horizontal="right" vertical="center"/>
    </xf>
    <xf numFmtId="177" fontId="179" fillId="4" borderId="190" xfId="23" applyNumberFormat="1" applyFont="1" applyFill="1" applyBorder="1" applyAlignment="1">
      <alignment horizontal="right" vertical="center"/>
    </xf>
    <xf numFmtId="41" fontId="112" fillId="4" borderId="190" xfId="5" applyFont="1" applyFill="1" applyBorder="1" applyAlignment="1">
      <alignment horizontal="center" vertical="center"/>
    </xf>
    <xf numFmtId="41" fontId="179" fillId="4" borderId="190" xfId="5" applyFont="1" applyFill="1" applyBorder="1" applyAlignment="1">
      <alignment horizontal="right" vertical="center"/>
    </xf>
    <xf numFmtId="0" fontId="182" fillId="4" borderId="190" xfId="4" applyFont="1" applyFill="1" applyBorder="1" applyAlignment="1">
      <alignment horizontal="center" vertical="center"/>
    </xf>
    <xf numFmtId="0" fontId="182" fillId="4" borderId="76" xfId="4" applyFont="1" applyFill="1" applyBorder="1" applyAlignment="1">
      <alignment horizontal="center" vertical="center"/>
    </xf>
    <xf numFmtId="0" fontId="112" fillId="51" borderId="0" xfId="4" applyFont="1" applyFill="1" applyBorder="1" applyAlignment="1">
      <alignment horizontal="left" vertical="center" wrapText="1"/>
    </xf>
    <xf numFmtId="0" fontId="112" fillId="51" borderId="0" xfId="4" applyFont="1" applyFill="1">
      <alignment vertical="center"/>
    </xf>
    <xf numFmtId="0" fontId="112" fillId="51" borderId="0" xfId="4" applyFont="1" applyFill="1" applyBorder="1">
      <alignment vertical="center"/>
    </xf>
    <xf numFmtId="0" fontId="109" fillId="44" borderId="190" xfId="0" applyFont="1" applyFill="1" applyBorder="1" applyAlignment="1">
      <alignment vertical="center"/>
    </xf>
    <xf numFmtId="204" fontId="109" fillId="44" borderId="190" xfId="0" applyNumberFormat="1" applyFont="1" applyFill="1" applyBorder="1" applyAlignment="1">
      <alignment vertical="center"/>
    </xf>
    <xf numFmtId="9" fontId="109" fillId="44" borderId="190" xfId="23" applyFont="1" applyFill="1" applyBorder="1" applyAlignment="1">
      <alignment horizontal="center" vertical="center"/>
    </xf>
    <xf numFmtId="204" fontId="109" fillId="44" borderId="190" xfId="0" applyNumberFormat="1" applyFont="1" applyFill="1" applyBorder="1" applyAlignment="1">
      <alignment horizontal="right" vertical="center"/>
    </xf>
    <xf numFmtId="177" fontId="109" fillId="44" borderId="190" xfId="23" applyNumberFormat="1" applyFont="1" applyFill="1" applyBorder="1" applyAlignment="1">
      <alignment horizontal="center" vertical="center"/>
    </xf>
    <xf numFmtId="0" fontId="134" fillId="2" borderId="190" xfId="0" applyFont="1" applyFill="1" applyBorder="1" applyAlignment="1">
      <alignment horizontal="left" vertical="center" shrinkToFit="1"/>
    </xf>
    <xf numFmtId="204" fontId="109" fillId="2" borderId="190" xfId="0" applyNumberFormat="1" applyFont="1" applyFill="1" applyBorder="1" applyAlignment="1" applyProtection="1">
      <alignment vertical="center"/>
    </xf>
    <xf numFmtId="9" fontId="109" fillId="2" borderId="190" xfId="23" applyFont="1" applyFill="1" applyBorder="1" applyAlignment="1">
      <alignment horizontal="center" vertical="center"/>
    </xf>
    <xf numFmtId="177" fontId="109" fillId="2" borderId="190" xfId="23" applyNumberFormat="1" applyFont="1" applyFill="1" applyBorder="1" applyAlignment="1">
      <alignment horizontal="center" vertical="center"/>
    </xf>
    <xf numFmtId="0" fontId="134" fillId="0" borderId="190" xfId="0" applyFont="1" applyFill="1" applyBorder="1" applyAlignment="1">
      <alignment horizontal="left" vertical="center" shrinkToFit="1"/>
    </xf>
    <xf numFmtId="204" fontId="109" fillId="0" borderId="190" xfId="0" applyNumberFormat="1" applyFont="1" applyFill="1" applyBorder="1" applyAlignment="1" applyProtection="1">
      <alignment vertical="center"/>
    </xf>
    <xf numFmtId="9" fontId="109" fillId="0" borderId="190" xfId="23" applyFont="1" applyFill="1" applyBorder="1" applyAlignment="1">
      <alignment horizontal="center" vertical="center"/>
    </xf>
    <xf numFmtId="0" fontId="112" fillId="10" borderId="190" xfId="0" applyFont="1" applyFill="1" applyBorder="1" applyAlignment="1">
      <alignment horizontal="left" vertical="center"/>
    </xf>
    <xf numFmtId="0" fontId="109" fillId="10" borderId="190" xfId="0" applyFont="1" applyFill="1" applyBorder="1" applyAlignment="1">
      <alignment vertical="center" shrinkToFit="1"/>
    </xf>
    <xf numFmtId="204" fontId="109" fillId="10" borderId="190" xfId="0" applyNumberFormat="1" applyFont="1" applyFill="1" applyBorder="1" applyAlignment="1">
      <alignment vertical="center"/>
    </xf>
    <xf numFmtId="204" fontId="109" fillId="10" borderId="190" xfId="0" applyNumberFormat="1" applyFont="1" applyFill="1" applyBorder="1" applyAlignment="1">
      <alignment horizontal="right" vertical="center"/>
    </xf>
    <xf numFmtId="9" fontId="109" fillId="10" borderId="190" xfId="23" applyFont="1" applyFill="1" applyBorder="1" applyAlignment="1">
      <alignment horizontal="center" vertical="center"/>
    </xf>
    <xf numFmtId="0" fontId="153" fillId="10" borderId="190" xfId="0" applyFont="1" applyFill="1" applyBorder="1" applyAlignment="1">
      <alignment horizontal="left" vertical="center"/>
    </xf>
    <xf numFmtId="0" fontId="153" fillId="0" borderId="190" xfId="0" applyFont="1" applyFill="1" applyBorder="1" applyAlignment="1">
      <alignment horizontal="left" vertical="center"/>
    </xf>
    <xf numFmtId="0" fontId="153" fillId="10" borderId="190" xfId="4" applyFont="1" applyFill="1" applyBorder="1" applyAlignment="1">
      <alignment horizontal="left" vertical="center"/>
    </xf>
    <xf numFmtId="204" fontId="109" fillId="0" borderId="190" xfId="0" applyNumberFormat="1" applyFont="1" applyFill="1" applyBorder="1" applyAlignment="1">
      <alignment vertical="center"/>
    </xf>
    <xf numFmtId="9" fontId="109" fillId="0" borderId="190" xfId="2" applyNumberFormat="1" applyFont="1" applyFill="1" applyBorder="1" applyAlignment="1">
      <alignment horizontal="center" vertical="center"/>
    </xf>
    <xf numFmtId="0" fontId="134" fillId="10" borderId="190" xfId="4" applyFont="1" applyFill="1" applyBorder="1" applyAlignment="1">
      <alignment horizontal="left" vertical="center"/>
    </xf>
    <xf numFmtId="0" fontId="134" fillId="4" borderId="190" xfId="4" applyFont="1" applyFill="1" applyBorder="1">
      <alignment vertical="center"/>
    </xf>
    <xf numFmtId="204" fontId="109" fillId="4" borderId="190" xfId="4" applyNumberFormat="1" applyFont="1" applyFill="1" applyBorder="1">
      <alignment vertical="center"/>
    </xf>
    <xf numFmtId="0" fontId="153" fillId="2" borderId="190" xfId="0" applyFont="1" applyFill="1" applyBorder="1" applyAlignment="1">
      <alignment horizontal="left" vertical="center"/>
    </xf>
    <xf numFmtId="0" fontId="166" fillId="10" borderId="190" xfId="4" applyFont="1" applyFill="1" applyBorder="1" applyAlignment="1">
      <alignment horizontal="left" vertical="center"/>
    </xf>
    <xf numFmtId="0" fontId="166" fillId="2" borderId="190" xfId="0" applyFont="1" applyFill="1" applyBorder="1" applyAlignment="1">
      <alignment horizontal="left" vertical="center"/>
    </xf>
    <xf numFmtId="204" fontId="165" fillId="2" borderId="190" xfId="0" applyNumberFormat="1" applyFont="1" applyFill="1" applyBorder="1" applyAlignment="1" applyProtection="1">
      <alignment vertical="center"/>
    </xf>
    <xf numFmtId="204" fontId="165" fillId="0" borderId="190" xfId="0" applyNumberFormat="1" applyFont="1" applyFill="1" applyBorder="1" applyAlignment="1">
      <alignment vertical="center"/>
    </xf>
    <xf numFmtId="9" fontId="165" fillId="0" borderId="190" xfId="23" applyFont="1" applyFill="1" applyBorder="1" applyAlignment="1">
      <alignment horizontal="center" vertical="center"/>
    </xf>
    <xf numFmtId="0" fontId="166" fillId="0" borderId="190" xfId="0" applyFont="1" applyFill="1" applyBorder="1" applyAlignment="1">
      <alignment horizontal="left" vertical="center"/>
    </xf>
    <xf numFmtId="0" fontId="134" fillId="0" borderId="190" xfId="0" applyFont="1" applyFill="1" applyBorder="1" applyAlignment="1">
      <alignment horizontal="left" vertical="center"/>
    </xf>
    <xf numFmtId="0" fontId="165" fillId="10" borderId="190" xfId="4" applyFont="1" applyFill="1" applyBorder="1">
      <alignment vertical="center"/>
    </xf>
    <xf numFmtId="0" fontId="166" fillId="0" borderId="190" xfId="0" applyFont="1" applyFill="1" applyBorder="1" applyAlignment="1">
      <alignment vertical="center"/>
    </xf>
    <xf numFmtId="204" fontId="165" fillId="0" borderId="190" xfId="0" applyNumberFormat="1" applyFont="1" applyFill="1" applyBorder="1" applyAlignment="1" applyProtection="1">
      <alignment vertical="center"/>
    </xf>
    <xf numFmtId="204" fontId="165" fillId="20" borderId="190" xfId="0" applyNumberFormat="1" applyFont="1" applyFill="1" applyBorder="1" applyAlignment="1">
      <alignment vertical="center"/>
    </xf>
    <xf numFmtId="204" fontId="109" fillId="21" borderId="190" xfId="0" applyNumberFormat="1" applyFont="1" applyFill="1" applyBorder="1" applyAlignment="1">
      <alignment vertical="center"/>
    </xf>
    <xf numFmtId="204" fontId="109" fillId="21" borderId="190" xfId="0" applyNumberFormat="1" applyFont="1" applyFill="1" applyBorder="1" applyAlignment="1">
      <alignment horizontal="right" vertical="center"/>
    </xf>
    <xf numFmtId="9" fontId="109" fillId="21" borderId="190" xfId="0" applyNumberFormat="1" applyFont="1" applyFill="1" applyBorder="1" applyAlignment="1">
      <alignment horizontal="center" vertical="center"/>
    </xf>
    <xf numFmtId="204" fontId="119" fillId="23" borderId="190" xfId="0" applyNumberFormat="1" applyFont="1" applyFill="1" applyBorder="1" applyAlignment="1">
      <alignment vertical="center"/>
    </xf>
    <xf numFmtId="204" fontId="119" fillId="23" borderId="190" xfId="0" applyNumberFormat="1" applyFont="1" applyFill="1" applyBorder="1" applyAlignment="1">
      <alignment horizontal="right" vertical="center"/>
    </xf>
    <xf numFmtId="9" fontId="119" fillId="23" borderId="190" xfId="23" applyFont="1" applyFill="1" applyBorder="1" applyAlignment="1">
      <alignment horizontal="center" vertical="center"/>
    </xf>
    <xf numFmtId="0" fontId="165" fillId="2" borderId="0" xfId="4" applyFont="1" applyFill="1">
      <alignment vertical="center"/>
    </xf>
    <xf numFmtId="0" fontId="109" fillId="52" borderId="0" xfId="4" applyFont="1" applyFill="1">
      <alignment vertical="center"/>
    </xf>
    <xf numFmtId="0" fontId="229" fillId="52" borderId="0" xfId="3" applyFont="1" applyFill="1" applyBorder="1" applyAlignment="1">
      <alignment vertical="center"/>
    </xf>
    <xf numFmtId="0" fontId="112" fillId="52" borderId="0" xfId="4" applyFont="1" applyFill="1" applyBorder="1">
      <alignment vertical="center"/>
    </xf>
    <xf numFmtId="0" fontId="178" fillId="52" borderId="0" xfId="4" applyFont="1" applyFill="1" applyBorder="1" applyAlignment="1">
      <alignment horizontal="center" vertical="center"/>
    </xf>
    <xf numFmtId="0" fontId="116" fillId="51" borderId="190" xfId="4" applyFont="1" applyFill="1" applyBorder="1">
      <alignment vertical="center"/>
    </xf>
    <xf numFmtId="216" fontId="116" fillId="51" borderId="190" xfId="4" applyNumberFormat="1" applyFont="1" applyFill="1" applyBorder="1">
      <alignment vertical="center"/>
    </xf>
    <xf numFmtId="9" fontId="116" fillId="51" borderId="190" xfId="2" applyFont="1" applyFill="1" applyBorder="1">
      <alignment vertical="center"/>
    </xf>
    <xf numFmtId="9" fontId="116" fillId="51" borderId="190" xfId="2" applyNumberFormat="1" applyFont="1" applyFill="1" applyBorder="1">
      <alignment vertical="center"/>
    </xf>
    <xf numFmtId="0" fontId="64" fillId="51" borderId="264" xfId="0" applyFont="1" applyFill="1" applyBorder="1" applyAlignment="1" applyProtection="1">
      <protection locked="0"/>
    </xf>
    <xf numFmtId="0" fontId="64" fillId="51" borderId="264" xfId="0" applyFont="1" applyFill="1" applyBorder="1" applyAlignment="1" applyProtection="1">
      <alignment horizontal="center"/>
      <protection locked="0"/>
    </xf>
    <xf numFmtId="0" fontId="70" fillId="51" borderId="264" xfId="0" applyFont="1" applyFill="1" applyBorder="1" applyAlignment="1" applyProtection="1">
      <alignment horizontal="center"/>
      <protection locked="0"/>
    </xf>
    <xf numFmtId="189" fontId="70" fillId="51" borderId="264" xfId="0" applyNumberFormat="1" applyFont="1" applyFill="1" applyBorder="1" applyAlignment="1" applyProtection="1">
      <alignment horizontal="left" vertical="center"/>
      <protection locked="0"/>
    </xf>
    <xf numFmtId="14" fontId="46" fillId="51" borderId="264" xfId="0" applyNumberFormat="1" applyFont="1" applyFill="1" applyBorder="1" applyAlignment="1" applyProtection="1">
      <alignment horizontal="center" vertical="center"/>
      <protection locked="0"/>
    </xf>
    <xf numFmtId="0" fontId="19" fillId="51" borderId="264" xfId="0" applyFont="1" applyFill="1" applyBorder="1" applyAlignment="1" applyProtection="1">
      <alignment horizontal="center"/>
      <protection locked="0"/>
    </xf>
    <xf numFmtId="41" fontId="224" fillId="51" borderId="264" xfId="11" applyFont="1" applyFill="1" applyBorder="1" applyAlignment="1">
      <alignment horizontal="center" vertical="center"/>
    </xf>
    <xf numFmtId="0" fontId="19" fillId="51" borderId="264" xfId="0" applyFont="1" applyFill="1" applyBorder="1" applyAlignment="1">
      <alignment horizontal="center" vertical="center"/>
    </xf>
    <xf numFmtId="0" fontId="109" fillId="0" borderId="192" xfId="0" applyFont="1" applyBorder="1"/>
    <xf numFmtId="0" fontId="109" fillId="2" borderId="193" xfId="4" applyFont="1" applyFill="1" applyBorder="1" applyAlignment="1">
      <alignment vertical="center"/>
    </xf>
    <xf numFmtId="0" fontId="109" fillId="2" borderId="199" xfId="4" applyFont="1" applyFill="1" applyBorder="1" applyAlignment="1">
      <alignment vertical="center"/>
    </xf>
    <xf numFmtId="0" fontId="109" fillId="2" borderId="198" xfId="4" applyFont="1" applyFill="1" applyBorder="1" applyAlignment="1">
      <alignment horizontal="center" vertical="center"/>
    </xf>
    <xf numFmtId="0" fontId="109" fillId="0" borderId="52" xfId="0" applyFont="1" applyBorder="1"/>
    <xf numFmtId="0" fontId="109" fillId="2" borderId="52" xfId="4" applyFont="1" applyFill="1" applyBorder="1" applyAlignment="1">
      <alignment horizontal="center" vertical="center"/>
    </xf>
    <xf numFmtId="0" fontId="161" fillId="0" borderId="190" xfId="4" applyNumberFormat="1" applyFont="1" applyFill="1" applyBorder="1" applyAlignment="1" applyProtection="1">
      <alignment horizontal="center" vertical="center" wrapText="1" shrinkToFit="1"/>
      <protection locked="0"/>
    </xf>
    <xf numFmtId="0" fontId="160" fillId="3" borderId="190" xfId="4" applyFont="1" applyFill="1" applyBorder="1" applyAlignment="1" applyProtection="1">
      <alignment horizontal="center" vertical="center" wrapText="1"/>
    </xf>
    <xf numFmtId="49" fontId="172" fillId="0" borderId="190" xfId="4" applyNumberFormat="1" applyFont="1" applyFill="1" applyBorder="1" applyAlignment="1" applyProtection="1">
      <alignment horizontal="center" vertical="center" wrapText="1"/>
      <protection locked="0"/>
    </xf>
    <xf numFmtId="177" fontId="172" fillId="0" borderId="190" xfId="4" applyNumberFormat="1" applyFont="1" applyFill="1" applyBorder="1" applyAlignment="1" applyProtection="1">
      <alignment horizontal="center" vertical="center" wrapText="1"/>
      <protection locked="0"/>
    </xf>
    <xf numFmtId="41" fontId="173" fillId="0" borderId="190" xfId="1" applyNumberFormat="1" applyFont="1" applyBorder="1">
      <alignment vertical="center"/>
    </xf>
    <xf numFmtId="49" fontId="174" fillId="0" borderId="190" xfId="4" applyNumberFormat="1" applyFont="1" applyFill="1" applyBorder="1" applyAlignment="1" applyProtection="1">
      <alignment horizontal="center" vertical="center" wrapText="1"/>
      <protection locked="0"/>
    </xf>
    <xf numFmtId="41" fontId="173" fillId="11" borderId="190" xfId="1" applyNumberFormat="1" applyFont="1" applyFill="1" applyBorder="1">
      <alignment vertical="center"/>
    </xf>
    <xf numFmtId="9" fontId="155" fillId="51" borderId="190" xfId="2" applyFont="1" applyFill="1" applyBorder="1" applyAlignment="1">
      <alignment horizontal="right" vertical="center" shrinkToFit="1"/>
    </xf>
    <xf numFmtId="0" fontId="160" fillId="0" borderId="0" xfId="4" applyFont="1" applyFill="1" applyBorder="1" applyAlignment="1" applyProtection="1">
      <alignment vertical="center"/>
    </xf>
    <xf numFmtId="10" fontId="155" fillId="51" borderId="190" xfId="2" applyNumberFormat="1" applyFont="1" applyFill="1" applyBorder="1" applyAlignment="1">
      <alignment horizontal="right" vertical="center" shrinkToFit="1"/>
    </xf>
    <xf numFmtId="0" fontId="147" fillId="2" borderId="0" xfId="0" applyFont="1" applyFill="1" applyAlignment="1">
      <alignment horizontal="center" vertical="center"/>
    </xf>
    <xf numFmtId="188" fontId="154" fillId="0" borderId="190" xfId="4" applyNumberFormat="1" applyFont="1" applyFill="1" applyBorder="1" applyAlignment="1" applyProtection="1">
      <alignment horizontal="center" vertical="center" shrinkToFit="1"/>
      <protection locked="0"/>
    </xf>
    <xf numFmtId="0" fontId="134" fillId="2" borderId="259" xfId="0" applyFont="1" applyFill="1" applyBorder="1" applyAlignment="1">
      <alignment vertical="center"/>
    </xf>
    <xf numFmtId="0" fontId="134" fillId="2" borderId="263" xfId="0" applyFont="1" applyFill="1" applyBorder="1" applyAlignment="1">
      <alignment vertical="center"/>
    </xf>
    <xf numFmtId="0" fontId="134" fillId="2" borderId="257" xfId="0" applyFont="1" applyFill="1" applyBorder="1" applyAlignment="1">
      <alignment vertical="center"/>
    </xf>
    <xf numFmtId="0" fontId="134" fillId="2" borderId="282" xfId="0" applyFont="1" applyFill="1" applyBorder="1" applyAlignment="1">
      <alignment vertical="center"/>
    </xf>
    <xf numFmtId="0" fontId="134" fillId="2" borderId="184" xfId="0" applyFont="1" applyFill="1" applyBorder="1" applyAlignment="1">
      <alignment vertical="center"/>
    </xf>
    <xf numFmtId="0" fontId="134" fillId="2" borderId="262" xfId="0" applyFont="1" applyFill="1" applyBorder="1" applyAlignment="1">
      <alignment vertical="center"/>
    </xf>
    <xf numFmtId="0" fontId="134" fillId="2" borderId="283" xfId="0" applyFont="1" applyFill="1" applyBorder="1" applyAlignment="1">
      <alignment vertical="center"/>
    </xf>
    <xf numFmtId="0" fontId="150" fillId="2" borderId="190" xfId="3" applyFont="1" applyFill="1" applyBorder="1" applyAlignment="1">
      <alignment horizontal="center" vertical="center"/>
    </xf>
    <xf numFmtId="41" fontId="150" fillId="2" borderId="190" xfId="3" applyNumberFormat="1" applyFont="1" applyFill="1" applyBorder="1" applyAlignment="1">
      <alignment horizontal="center" vertical="center"/>
    </xf>
    <xf numFmtId="41" fontId="134" fillId="2" borderId="190" xfId="3" applyNumberFormat="1" applyFont="1" applyFill="1" applyBorder="1" applyAlignment="1">
      <alignment horizontal="center" vertical="center"/>
    </xf>
    <xf numFmtId="41" fontId="166" fillId="2" borderId="190" xfId="3" applyNumberFormat="1" applyFont="1" applyFill="1" applyBorder="1" applyAlignment="1">
      <alignment horizontal="center" vertical="center"/>
    </xf>
    <xf numFmtId="203" fontId="166" fillId="0" borderId="190" xfId="0" applyNumberFormat="1" applyFont="1" applyFill="1" applyBorder="1" applyAlignment="1" applyProtection="1">
      <alignment vertical="center"/>
    </xf>
    <xf numFmtId="41" fontId="166" fillId="2" borderId="190" xfId="3" applyNumberFormat="1" applyFont="1" applyFill="1" applyBorder="1" applyAlignment="1">
      <alignment horizontal="center" vertical="center" shrinkToFit="1"/>
    </xf>
    <xf numFmtId="203" fontId="134" fillId="0" borderId="190" xfId="0" applyNumberFormat="1" applyFont="1" applyFill="1" applyBorder="1" applyAlignment="1" applyProtection="1">
      <alignment vertical="center"/>
    </xf>
    <xf numFmtId="0" fontId="166" fillId="2" borderId="190" xfId="3" applyFont="1" applyFill="1" applyBorder="1" applyAlignment="1">
      <alignment vertical="center"/>
    </xf>
    <xf numFmtId="41" fontId="153" fillId="2" borderId="190" xfId="34" applyFont="1" applyFill="1" applyBorder="1" applyAlignment="1" applyProtection="1">
      <alignment horizontal="center" vertical="center" shrinkToFit="1"/>
    </xf>
    <xf numFmtId="207" fontId="153" fillId="2" borderId="190" xfId="5" applyNumberFormat="1" applyFont="1" applyFill="1" applyBorder="1" applyAlignment="1" applyProtection="1">
      <alignment horizontal="right" vertical="center" shrinkToFit="1"/>
      <protection locked="0"/>
    </xf>
    <xf numFmtId="207" fontId="153" fillId="2" borderId="190" xfId="5" quotePrefix="1" applyNumberFormat="1" applyFont="1" applyFill="1" applyBorder="1" applyAlignment="1">
      <alignment horizontal="center" vertical="center" shrinkToFit="1"/>
    </xf>
    <xf numFmtId="41" fontId="153" fillId="37" borderId="190" xfId="34" applyFont="1" applyFill="1" applyBorder="1" applyAlignment="1" applyProtection="1">
      <alignment horizontal="center" vertical="center" shrinkToFit="1"/>
    </xf>
    <xf numFmtId="207" fontId="153" fillId="37" borderId="190" xfId="5" applyNumberFormat="1" applyFont="1" applyFill="1" applyBorder="1" applyAlignment="1" applyProtection="1">
      <alignment horizontal="right" vertical="center" shrinkToFit="1"/>
      <protection locked="0"/>
    </xf>
    <xf numFmtId="181" fontId="153" fillId="2" borderId="190" xfId="34" applyNumberFormat="1" applyFont="1" applyFill="1" applyBorder="1" applyAlignment="1">
      <alignment horizontal="left" vertical="center" shrinkToFit="1"/>
    </xf>
    <xf numFmtId="207" fontId="42" fillId="2" borderId="190" xfId="5" quotePrefix="1" applyNumberFormat="1" applyFont="1" applyFill="1" applyBorder="1" applyAlignment="1">
      <alignment horizontal="center" vertical="center" shrinkToFit="1"/>
    </xf>
    <xf numFmtId="181" fontId="118" fillId="46" borderId="190" xfId="34" applyNumberFormat="1" applyFont="1" applyFill="1" applyBorder="1" applyAlignment="1" applyProtection="1">
      <alignment horizontal="center" vertical="center" shrinkToFit="1"/>
    </xf>
    <xf numFmtId="207" fontId="44" fillId="7" borderId="190" xfId="5" quotePrefix="1" applyNumberFormat="1" applyFont="1" applyFill="1" applyBorder="1" applyAlignment="1">
      <alignment horizontal="center" vertical="center" shrinkToFit="1"/>
    </xf>
    <xf numFmtId="207" fontId="118" fillId="7" borderId="190" xfId="5" quotePrefix="1" applyNumberFormat="1" applyFont="1" applyFill="1" applyBorder="1" applyAlignment="1">
      <alignment horizontal="center" vertical="center" shrinkToFit="1"/>
    </xf>
    <xf numFmtId="41" fontId="153" fillId="2" borderId="190" xfId="34" applyFont="1" applyFill="1" applyBorder="1" applyAlignment="1" applyProtection="1">
      <alignment horizontal="left" vertical="center" shrinkToFit="1"/>
    </xf>
    <xf numFmtId="41" fontId="118" fillId="7" borderId="190" xfId="34" applyFont="1" applyFill="1" applyBorder="1" applyAlignment="1" applyProtection="1">
      <alignment horizontal="center" vertical="center" shrinkToFit="1"/>
    </xf>
    <xf numFmtId="0" fontId="134" fillId="2" borderId="190" xfId="35" applyFont="1" applyFill="1" applyBorder="1"/>
    <xf numFmtId="207" fontId="42" fillId="0" borderId="190" xfId="5" quotePrefix="1" applyNumberFormat="1" applyFont="1" applyFill="1" applyBorder="1" applyAlignment="1">
      <alignment horizontal="center" vertical="center" shrinkToFit="1"/>
    </xf>
    <xf numFmtId="207" fontId="153" fillId="0" borderId="190" xfId="5" quotePrefix="1" applyNumberFormat="1" applyFont="1" applyFill="1" applyBorder="1" applyAlignment="1">
      <alignment horizontal="center" vertical="center" shrinkToFit="1"/>
    </xf>
    <xf numFmtId="0" fontId="134" fillId="15" borderId="190" xfId="35" applyFont="1" applyFill="1" applyBorder="1" applyAlignment="1">
      <alignment horizontal="center"/>
    </xf>
    <xf numFmtId="207" fontId="42" fillId="15" borderId="190" xfId="5" quotePrefix="1" applyNumberFormat="1" applyFont="1" applyFill="1" applyBorder="1" applyAlignment="1">
      <alignment horizontal="center" vertical="center" shrinkToFit="1"/>
    </xf>
    <xf numFmtId="207" fontId="153" fillId="15" borderId="190" xfId="5" quotePrefix="1" applyNumberFormat="1" applyFont="1" applyFill="1" applyBorder="1" applyAlignment="1">
      <alignment horizontal="center" vertical="center" shrinkToFit="1"/>
    </xf>
    <xf numFmtId="207" fontId="23" fillId="2" borderId="190" xfId="5" quotePrefix="1" applyNumberFormat="1" applyFont="1" applyFill="1" applyBorder="1" applyAlignment="1">
      <alignment horizontal="center" vertical="center" shrinkToFit="1"/>
    </xf>
    <xf numFmtId="207" fontId="134" fillId="2" borderId="190" xfId="5" quotePrefix="1" applyNumberFormat="1" applyFont="1" applyFill="1" applyBorder="1" applyAlignment="1">
      <alignment horizontal="center" vertical="center" shrinkToFit="1"/>
    </xf>
    <xf numFmtId="207" fontId="23" fillId="15" borderId="190" xfId="5" quotePrefix="1" applyNumberFormat="1" applyFont="1" applyFill="1" applyBorder="1" applyAlignment="1">
      <alignment horizontal="center" vertical="center" shrinkToFit="1"/>
    </xf>
    <xf numFmtId="207" fontId="134" fillId="15" borderId="190" xfId="5" quotePrefix="1" applyNumberFormat="1" applyFont="1" applyFill="1" applyBorder="1" applyAlignment="1">
      <alignment horizontal="center" vertical="center" shrinkToFit="1"/>
    </xf>
    <xf numFmtId="0" fontId="134" fillId="2" borderId="190" xfId="35" applyFont="1" applyFill="1" applyBorder="1" applyAlignment="1">
      <alignment vertical="center" wrapText="1"/>
    </xf>
    <xf numFmtId="0" fontId="134" fillId="45" borderId="190" xfId="35" applyFont="1" applyFill="1" applyBorder="1" applyAlignment="1">
      <alignment horizontal="center" vertical="center" wrapText="1"/>
    </xf>
    <xf numFmtId="0" fontId="134" fillId="45" borderId="190" xfId="35" applyFont="1" applyFill="1" applyBorder="1" applyAlignment="1">
      <alignment horizontal="center"/>
    </xf>
    <xf numFmtId="207" fontId="44" fillId="45" borderId="190" xfId="5" quotePrefix="1" applyNumberFormat="1" applyFont="1" applyFill="1" applyBorder="1" applyAlignment="1">
      <alignment horizontal="center" vertical="center" shrinkToFit="1"/>
    </xf>
    <xf numFmtId="207" fontId="42" fillId="7" borderId="190" xfId="5" quotePrefix="1" applyNumberFormat="1" applyFont="1" applyFill="1" applyBorder="1" applyAlignment="1">
      <alignment horizontal="center" vertical="center" shrinkToFit="1"/>
    </xf>
    <xf numFmtId="207" fontId="153" fillId="7" borderId="190" xfId="5" quotePrefix="1" applyNumberFormat="1" applyFont="1" applyFill="1" applyBorder="1" applyAlignment="1">
      <alignment horizontal="center" vertical="center" shrinkToFit="1"/>
    </xf>
    <xf numFmtId="0" fontId="134" fillId="2" borderId="190" xfId="35" applyFont="1" applyFill="1" applyBorder="1" applyAlignment="1">
      <alignment horizontal="center"/>
    </xf>
    <xf numFmtId="207" fontId="44" fillId="51" borderId="190" xfId="5" quotePrefix="1" applyNumberFormat="1" applyFont="1" applyFill="1" applyBorder="1" applyAlignment="1">
      <alignment horizontal="center" vertical="center" shrinkToFit="1"/>
    </xf>
    <xf numFmtId="49" fontId="118" fillId="51" borderId="190" xfId="34" applyNumberFormat="1" applyFont="1" applyFill="1" applyBorder="1" applyAlignment="1">
      <alignment horizontal="center" vertical="center" shrinkToFit="1"/>
    </xf>
    <xf numFmtId="0" fontId="118" fillId="51" borderId="190" xfId="34" applyNumberFormat="1" applyFont="1" applyFill="1" applyBorder="1" applyAlignment="1">
      <alignment horizontal="center" vertical="center" shrinkToFit="1"/>
    </xf>
    <xf numFmtId="0" fontId="118" fillId="51" borderId="190" xfId="34" quotePrefix="1" applyNumberFormat="1" applyFont="1" applyFill="1" applyBorder="1" applyAlignment="1">
      <alignment horizontal="center" vertical="center" shrinkToFit="1"/>
    </xf>
    <xf numFmtId="0" fontId="0" fillId="2" borderId="0" xfId="0" applyFill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7" fillId="2" borderId="0" xfId="0" applyFont="1" applyFill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12" fillId="2" borderId="0" xfId="0" applyFont="1" applyFill="1" applyAlignment="1">
      <alignment horizontal="center" vertical="center"/>
    </xf>
    <xf numFmtId="0" fontId="147" fillId="2" borderId="0" xfId="0" applyFont="1" applyFill="1" applyAlignment="1">
      <alignment horizontal="center" vertical="center"/>
    </xf>
    <xf numFmtId="191" fontId="32" fillId="11" borderId="140" xfId="56" applyFont="1" applyFill="1" applyBorder="1" applyAlignment="1">
      <alignment horizontal="left" vertical="center"/>
    </xf>
    <xf numFmtId="191" fontId="32" fillId="11" borderId="31" xfId="56" applyFont="1" applyFill="1" applyBorder="1" applyAlignment="1">
      <alignment horizontal="left" vertical="center"/>
    </xf>
    <xf numFmtId="191" fontId="56" fillId="0" borderId="0" xfId="56" applyFont="1" applyAlignment="1">
      <alignment horizontal="center" vertical="center"/>
    </xf>
    <xf numFmtId="49" fontId="32" fillId="0" borderId="0" xfId="56" applyNumberFormat="1" applyFont="1" applyAlignment="1">
      <alignment horizontal="center" vertical="center"/>
    </xf>
    <xf numFmtId="191" fontId="44" fillId="0" borderId="167" xfId="56" applyFont="1" applyBorder="1">
      <alignment vertical="center"/>
    </xf>
    <xf numFmtId="191" fontId="44" fillId="0" borderId="161" xfId="56" applyFont="1" applyBorder="1">
      <alignment vertical="center"/>
    </xf>
    <xf numFmtId="191" fontId="44" fillId="0" borderId="140" xfId="56" applyFont="1" applyBorder="1">
      <alignment vertical="center"/>
    </xf>
    <xf numFmtId="191" fontId="44" fillId="0" borderId="31" xfId="56" applyFont="1" applyBorder="1">
      <alignment vertical="center"/>
    </xf>
    <xf numFmtId="191" fontId="32" fillId="0" borderId="140" xfId="56" applyFont="1" applyBorder="1" applyAlignment="1">
      <alignment horizontal="left" vertical="center"/>
    </xf>
    <xf numFmtId="191" fontId="32" fillId="0" borderId="31" xfId="56" applyFont="1" applyBorder="1" applyAlignment="1">
      <alignment horizontal="left" vertical="center"/>
    </xf>
    <xf numFmtId="191" fontId="44" fillId="18" borderId="184" xfId="56" applyFont="1" applyFill="1" applyBorder="1">
      <alignment vertical="center"/>
    </xf>
    <xf numFmtId="191" fontId="44" fillId="18" borderId="180" xfId="56" applyFont="1" applyFill="1" applyBorder="1">
      <alignment vertical="center"/>
    </xf>
    <xf numFmtId="191" fontId="44" fillId="11" borderId="140" xfId="56" applyFont="1" applyFill="1" applyBorder="1">
      <alignment vertical="center"/>
    </xf>
    <xf numFmtId="191" fontId="44" fillId="11" borderId="31" xfId="56" applyFont="1" applyFill="1" applyBorder="1">
      <alignment vertical="center"/>
    </xf>
    <xf numFmtId="191" fontId="18" fillId="19" borderId="184" xfId="56" applyFont="1" applyFill="1" applyBorder="1" applyAlignment="1">
      <alignment horizontal="left" vertical="center"/>
    </xf>
    <xf numFmtId="191" fontId="18" fillId="19" borderId="62" xfId="56" applyFont="1" applyFill="1" applyBorder="1" applyAlignment="1">
      <alignment horizontal="left" vertical="center"/>
    </xf>
    <xf numFmtId="191" fontId="62" fillId="0" borderId="0" xfId="56" applyFont="1" applyAlignment="1">
      <alignment horizontal="center" vertical="center"/>
    </xf>
    <xf numFmtId="191" fontId="32" fillId="0" borderId="0" xfId="56" applyFont="1" applyAlignment="1">
      <alignment horizontal="center" vertical="center"/>
    </xf>
    <xf numFmtId="191" fontId="63" fillId="18" borderId="129" xfId="56" applyFont="1" applyFill="1" applyBorder="1" applyAlignment="1">
      <alignment horizontal="left" vertical="center"/>
    </xf>
    <xf numFmtId="191" fontId="63" fillId="18" borderId="181" xfId="56" applyFont="1" applyFill="1" applyBorder="1" applyAlignment="1">
      <alignment horizontal="left" vertical="center"/>
    </xf>
    <xf numFmtId="191" fontId="18" fillId="19" borderId="129" xfId="56" applyFont="1" applyFill="1" applyBorder="1" applyAlignment="1">
      <alignment horizontal="left" vertical="center"/>
    </xf>
    <xf numFmtId="191" fontId="18" fillId="19" borderId="181" xfId="56" applyFont="1" applyFill="1" applyBorder="1" applyAlignment="1">
      <alignment horizontal="left" vertical="center"/>
    </xf>
    <xf numFmtId="191" fontId="63" fillId="11" borderId="129" xfId="56" applyFont="1" applyFill="1" applyBorder="1" applyAlignment="1">
      <alignment horizontal="left" vertical="center"/>
    </xf>
    <xf numFmtId="191" fontId="63" fillId="11" borderId="181" xfId="56" applyFont="1" applyFill="1" applyBorder="1" applyAlignment="1">
      <alignment horizontal="left" vertical="center"/>
    </xf>
    <xf numFmtId="0" fontId="106" fillId="0" borderId="252" xfId="55" applyFont="1" applyBorder="1" applyAlignment="1">
      <alignment horizontal="center" vertical="center"/>
    </xf>
    <xf numFmtId="0" fontId="106" fillId="0" borderId="258" xfId="55" applyFont="1" applyBorder="1" applyAlignment="1">
      <alignment horizontal="center" vertical="center"/>
    </xf>
    <xf numFmtId="0" fontId="218" fillId="0" borderId="252" xfId="55" applyFont="1" applyBorder="1" applyAlignment="1">
      <alignment horizontal="center" vertical="center"/>
    </xf>
    <xf numFmtId="0" fontId="218" fillId="0" borderId="258" xfId="55" applyFont="1" applyBorder="1" applyAlignment="1">
      <alignment horizontal="center" vertical="center"/>
    </xf>
    <xf numFmtId="0" fontId="106" fillId="37" borderId="252" xfId="55" applyFont="1" applyFill="1" applyBorder="1" applyAlignment="1">
      <alignment horizontal="center" vertical="center"/>
    </xf>
    <xf numFmtId="0" fontId="106" fillId="37" borderId="258" xfId="55" applyFont="1" applyFill="1" applyBorder="1" applyAlignment="1">
      <alignment horizontal="center" vertical="center"/>
    </xf>
    <xf numFmtId="0" fontId="106" fillId="0" borderId="111" xfId="55" applyFont="1" applyBorder="1" applyAlignment="1">
      <alignment horizontal="center" vertical="center"/>
    </xf>
    <xf numFmtId="0" fontId="106" fillId="0" borderId="179" xfId="55" applyFont="1" applyBorder="1" applyAlignment="1">
      <alignment horizontal="center" vertical="center"/>
    </xf>
    <xf numFmtId="0" fontId="106" fillId="0" borderId="71" xfId="55" applyFont="1" applyBorder="1" applyAlignment="1">
      <alignment horizontal="center" vertical="center"/>
    </xf>
    <xf numFmtId="0" fontId="106" fillId="0" borderId="50" xfId="55" applyFont="1" applyBorder="1" applyAlignment="1">
      <alignment horizontal="center" vertical="center"/>
    </xf>
    <xf numFmtId="0" fontId="106" fillId="0" borderId="167" xfId="55" applyFont="1" applyBorder="1" applyAlignment="1">
      <alignment horizontal="center" vertical="center"/>
    </xf>
    <xf numFmtId="0" fontId="106" fillId="0" borderId="161" xfId="55" applyFont="1" applyBorder="1" applyAlignment="1">
      <alignment horizontal="center" vertical="center"/>
    </xf>
    <xf numFmtId="0" fontId="106" fillId="0" borderId="140" xfId="55" applyFont="1" applyBorder="1" applyAlignment="1">
      <alignment horizontal="center" vertical="center"/>
    </xf>
    <xf numFmtId="0" fontId="106" fillId="0" borderId="31" xfId="55" applyFont="1" applyBorder="1" applyAlignment="1">
      <alignment horizontal="center" vertical="center"/>
    </xf>
    <xf numFmtId="0" fontId="106" fillId="0" borderId="184" xfId="55" applyFont="1" applyBorder="1" applyAlignment="1">
      <alignment horizontal="center" vertical="center"/>
    </xf>
    <xf numFmtId="0" fontId="106" fillId="0" borderId="180" xfId="55" applyFont="1" applyBorder="1" applyAlignment="1">
      <alignment horizontal="center" vertical="center"/>
    </xf>
    <xf numFmtId="0" fontId="106" fillId="0" borderId="167" xfId="55" quotePrefix="1" applyFont="1" applyBorder="1" applyAlignment="1">
      <alignment horizontal="center" vertical="center" wrapText="1"/>
    </xf>
    <xf numFmtId="0" fontId="106" fillId="37" borderId="128" xfId="55" applyFont="1" applyFill="1" applyBorder="1" applyAlignment="1">
      <alignment horizontal="center" vertical="center"/>
    </xf>
    <xf numFmtId="0" fontId="106" fillId="0" borderId="128" xfId="55" applyFont="1" applyFill="1" applyBorder="1" applyAlignment="1">
      <alignment horizontal="center" vertical="center"/>
    </xf>
    <xf numFmtId="183" fontId="106" fillId="0" borderId="179" xfId="55" applyNumberFormat="1" applyFont="1" applyBorder="1" applyAlignment="1">
      <alignment horizontal="center" vertical="center"/>
    </xf>
    <xf numFmtId="183" fontId="106" fillId="0" borderId="50" xfId="55" applyNumberFormat="1" applyFont="1" applyBorder="1" applyAlignment="1">
      <alignment horizontal="center" vertical="center"/>
    </xf>
    <xf numFmtId="10" fontId="106" fillId="0" borderId="252" xfId="55" applyNumberFormat="1" applyFont="1" applyBorder="1" applyAlignment="1">
      <alignment horizontal="center" vertical="center"/>
    </xf>
    <xf numFmtId="10" fontId="106" fillId="0" borderId="258" xfId="55" applyNumberFormat="1" applyFont="1" applyBorder="1" applyAlignment="1">
      <alignment horizontal="center" vertical="center"/>
    </xf>
    <xf numFmtId="0" fontId="155" fillId="51" borderId="190" xfId="4" applyFont="1" applyFill="1" applyBorder="1" applyAlignment="1">
      <alignment horizontal="center" vertical="center" wrapText="1"/>
    </xf>
    <xf numFmtId="41" fontId="118" fillId="51" borderId="190" xfId="1" applyFont="1" applyFill="1" applyBorder="1" applyAlignment="1">
      <alignment horizontal="center" vertical="center" shrinkToFit="1"/>
    </xf>
    <xf numFmtId="41" fontId="150" fillId="0" borderId="190" xfId="1" applyFont="1" applyBorder="1" applyAlignment="1">
      <alignment horizontal="center" vertical="center" shrinkToFit="1"/>
    </xf>
    <xf numFmtId="0" fontId="158" fillId="51" borderId="190" xfId="3" applyFont="1" applyFill="1" applyBorder="1" applyAlignment="1">
      <alignment horizontal="center" vertical="center" shrinkToFit="1"/>
    </xf>
    <xf numFmtId="216" fontId="109" fillId="0" borderId="0" xfId="3" applyNumberFormat="1" applyFont="1" applyBorder="1" applyAlignment="1">
      <alignment horizontal="center" vertical="center"/>
    </xf>
    <xf numFmtId="0" fontId="134" fillId="51" borderId="190" xfId="0" applyNumberFormat="1" applyFont="1" applyFill="1" applyBorder="1" applyAlignment="1">
      <alignment horizontal="center" vertical="center"/>
    </xf>
    <xf numFmtId="41" fontId="150" fillId="4" borderId="190" xfId="3" applyNumberFormat="1" applyFont="1" applyFill="1" applyBorder="1" applyAlignment="1">
      <alignment horizontal="center" vertical="center" wrapText="1"/>
    </xf>
    <xf numFmtId="41" fontId="150" fillId="4" borderId="190" xfId="3" applyNumberFormat="1" applyFont="1" applyFill="1" applyBorder="1" applyAlignment="1">
      <alignment horizontal="center" vertical="center"/>
    </xf>
    <xf numFmtId="3" fontId="150" fillId="0" borderId="190" xfId="3" applyNumberFormat="1" applyFont="1" applyBorder="1" applyAlignment="1">
      <alignment horizontal="center" vertical="center" shrinkToFit="1"/>
    </xf>
    <xf numFmtId="0" fontId="150" fillId="0" borderId="190" xfId="3" applyFont="1" applyBorder="1" applyAlignment="1">
      <alignment horizontal="center" vertical="center" shrinkToFit="1"/>
    </xf>
    <xf numFmtId="41" fontId="134" fillId="0" borderId="190" xfId="5" applyFont="1" applyBorder="1" applyAlignment="1">
      <alignment horizontal="center" vertical="center" shrinkToFit="1"/>
    </xf>
    <xf numFmtId="41" fontId="150" fillId="4" borderId="190" xfId="3" quotePrefix="1" applyNumberFormat="1" applyFont="1" applyFill="1" applyBorder="1" applyAlignment="1">
      <alignment horizontal="center" vertical="center"/>
    </xf>
    <xf numFmtId="0" fontId="150" fillId="51" borderId="190" xfId="3" applyNumberFormat="1" applyFont="1" applyFill="1" applyBorder="1" applyAlignment="1">
      <alignment horizontal="center" vertical="center"/>
    </xf>
    <xf numFmtId="0" fontId="150" fillId="0" borderId="190" xfId="3" applyFont="1" applyFill="1" applyBorder="1" applyAlignment="1">
      <alignment horizontal="center" vertical="center" shrinkToFit="1"/>
    </xf>
    <xf numFmtId="41" fontId="150" fillId="0" borderId="190" xfId="1" applyFont="1" applyFill="1" applyBorder="1" applyAlignment="1">
      <alignment horizontal="center" vertical="center" shrinkToFit="1"/>
    </xf>
    <xf numFmtId="41" fontId="150" fillId="0" borderId="190" xfId="3" applyNumberFormat="1" applyFont="1" applyFill="1" applyBorder="1" applyAlignment="1">
      <alignment horizontal="center" vertical="center" shrinkToFit="1"/>
    </xf>
    <xf numFmtId="0" fontId="118" fillId="51" borderId="190" xfId="4" applyFont="1" applyFill="1" applyBorder="1" applyAlignment="1">
      <alignment horizontal="center" vertical="center" wrapText="1"/>
    </xf>
    <xf numFmtId="0" fontId="118" fillId="51" borderId="190" xfId="3" applyFont="1" applyFill="1" applyBorder="1" applyAlignment="1">
      <alignment horizontal="center" vertical="center" shrinkToFit="1"/>
    </xf>
    <xf numFmtId="9" fontId="118" fillId="51" borderId="190" xfId="3" applyNumberFormat="1" applyFont="1" applyFill="1" applyBorder="1" applyAlignment="1">
      <alignment horizontal="center" vertical="center" shrinkToFit="1"/>
    </xf>
    <xf numFmtId="0" fontId="150" fillId="19" borderId="190" xfId="3" applyFont="1" applyFill="1" applyBorder="1" applyAlignment="1">
      <alignment horizontal="center" vertical="center" shrinkToFit="1"/>
    </xf>
    <xf numFmtId="10" fontId="150" fillId="19" borderId="190" xfId="3" applyNumberFormat="1" applyFont="1" applyFill="1" applyBorder="1" applyAlignment="1">
      <alignment horizontal="center" vertical="center" shrinkToFit="1"/>
    </xf>
    <xf numFmtId="0" fontId="150" fillId="19" borderId="190" xfId="3" applyFont="1" applyFill="1" applyBorder="1" applyAlignment="1">
      <alignment horizontal="right" vertical="center" shrinkToFit="1"/>
    </xf>
    <xf numFmtId="0" fontId="150" fillId="2" borderId="190" xfId="3" applyFont="1" applyFill="1" applyBorder="1" applyAlignment="1">
      <alignment horizontal="center" vertical="center" shrinkToFit="1"/>
    </xf>
    <xf numFmtId="0" fontId="150" fillId="2" borderId="197" xfId="3" applyFont="1" applyFill="1" applyBorder="1" applyAlignment="1">
      <alignment horizontal="center" vertical="center" shrinkToFit="1"/>
    </xf>
    <xf numFmtId="10" fontId="150" fillId="2" borderId="190" xfId="3" applyNumberFormat="1" applyFont="1" applyFill="1" applyBorder="1" applyAlignment="1">
      <alignment horizontal="center" vertical="center" shrinkToFit="1"/>
    </xf>
    <xf numFmtId="10" fontId="150" fillId="2" borderId="197" xfId="3" applyNumberFormat="1" applyFont="1" applyFill="1" applyBorder="1" applyAlignment="1">
      <alignment horizontal="center" vertical="center" shrinkToFit="1"/>
    </xf>
    <xf numFmtId="0" fontId="150" fillId="2" borderId="190" xfId="3" applyFont="1" applyFill="1" applyBorder="1" applyAlignment="1">
      <alignment horizontal="center" vertical="center" wrapText="1" shrinkToFit="1"/>
    </xf>
    <xf numFmtId="0" fontId="150" fillId="0" borderId="190" xfId="3" applyFont="1" applyFill="1" applyBorder="1" applyAlignment="1">
      <alignment horizontal="right" vertical="center" shrinkToFit="1"/>
    </xf>
    <xf numFmtId="0" fontId="150" fillId="0" borderId="197" xfId="3" applyFont="1" applyFill="1" applyBorder="1" applyAlignment="1">
      <alignment horizontal="right" vertical="center" shrinkToFit="1"/>
    </xf>
    <xf numFmtId="0" fontId="150" fillId="0" borderId="197" xfId="3" applyFont="1" applyFill="1" applyBorder="1" applyAlignment="1">
      <alignment horizontal="center" vertical="center" shrinkToFit="1"/>
    </xf>
    <xf numFmtId="0" fontId="150" fillId="0" borderId="190" xfId="3" applyFont="1" applyFill="1" applyBorder="1" applyAlignment="1">
      <alignment horizontal="center" vertical="center" wrapText="1" shrinkToFit="1"/>
    </xf>
    <xf numFmtId="10" fontId="150" fillId="2" borderId="190" xfId="2" applyNumberFormat="1" applyFont="1" applyFill="1" applyBorder="1" applyAlignment="1">
      <alignment horizontal="center" vertical="center" shrinkToFit="1"/>
    </xf>
    <xf numFmtId="0" fontId="150" fillId="0" borderId="190" xfId="3" applyFont="1" applyFill="1" applyBorder="1" applyAlignment="1">
      <alignment horizontal="center" vertical="center" wrapText="1"/>
    </xf>
    <xf numFmtId="177" fontId="150" fillId="2" borderId="190" xfId="2" applyNumberFormat="1" applyFont="1" applyFill="1" applyBorder="1" applyAlignment="1">
      <alignment horizontal="center" vertical="center" shrinkToFit="1"/>
    </xf>
    <xf numFmtId="0" fontId="153" fillId="43" borderId="23" xfId="4" applyFont="1" applyFill="1" applyBorder="1" applyAlignment="1">
      <alignment horizontal="center" vertical="center" wrapText="1"/>
    </xf>
    <xf numFmtId="0" fontId="153" fillId="43" borderId="2" xfId="4" applyFont="1" applyFill="1" applyBorder="1" applyAlignment="1">
      <alignment horizontal="center" vertical="center" wrapText="1"/>
    </xf>
    <xf numFmtId="41" fontId="150" fillId="43" borderId="18" xfId="1" applyFont="1" applyFill="1" applyBorder="1" applyAlignment="1">
      <alignment horizontal="center" vertical="center" shrinkToFit="1"/>
    </xf>
    <xf numFmtId="41" fontId="150" fillId="43" borderId="16" xfId="1" applyFont="1" applyFill="1" applyBorder="1" applyAlignment="1">
      <alignment horizontal="center" vertical="center" shrinkToFit="1"/>
    </xf>
    <xf numFmtId="41" fontId="150" fillId="43" borderId="17" xfId="1" applyFont="1" applyFill="1" applyBorder="1" applyAlignment="1">
      <alignment horizontal="center" vertical="center" shrinkToFit="1"/>
    </xf>
    <xf numFmtId="41" fontId="134" fillId="43" borderId="18" xfId="1" applyFont="1" applyFill="1" applyBorder="1" applyAlignment="1">
      <alignment horizontal="center" vertical="center" shrinkToFit="1"/>
    </xf>
    <xf numFmtId="41" fontId="134" fillId="43" borderId="16" xfId="1" applyFont="1" applyFill="1" applyBorder="1" applyAlignment="1">
      <alignment horizontal="center" vertical="center" shrinkToFit="1"/>
    </xf>
    <xf numFmtId="41" fontId="134" fillId="43" borderId="17" xfId="1" applyFont="1" applyFill="1" applyBorder="1" applyAlignment="1">
      <alignment horizontal="center" vertical="center" shrinkToFit="1"/>
    </xf>
    <xf numFmtId="177" fontId="150" fillId="43" borderId="18" xfId="2" applyNumberFormat="1" applyFont="1" applyFill="1" applyBorder="1" applyAlignment="1">
      <alignment horizontal="center" vertical="center" shrinkToFit="1"/>
    </xf>
    <xf numFmtId="177" fontId="150" fillId="43" borderId="16" xfId="2" applyNumberFormat="1" applyFont="1" applyFill="1" applyBorder="1" applyAlignment="1">
      <alignment horizontal="center" vertical="center" shrinkToFit="1"/>
    </xf>
    <xf numFmtId="177" fontId="150" fillId="43" borderId="19" xfId="2" applyNumberFormat="1" applyFont="1" applyFill="1" applyBorder="1" applyAlignment="1">
      <alignment horizontal="center" vertical="center" shrinkToFit="1"/>
    </xf>
    <xf numFmtId="0" fontId="158" fillId="51" borderId="190" xfId="3" applyFont="1" applyFill="1" applyBorder="1" applyAlignment="1">
      <alignment horizontal="center" vertical="center" wrapText="1" shrinkToFit="1"/>
    </xf>
    <xf numFmtId="0" fontId="150" fillId="0" borderId="13" xfId="3" applyFont="1" applyFill="1" applyBorder="1" applyAlignment="1">
      <alignment horizontal="center" vertical="center" shrinkToFit="1"/>
    </xf>
    <xf numFmtId="0" fontId="150" fillId="0" borderId="11" xfId="3" applyFont="1" applyFill="1" applyBorder="1" applyAlignment="1">
      <alignment horizontal="center" vertical="center" shrinkToFit="1"/>
    </xf>
    <xf numFmtId="41" fontId="150" fillId="0" borderId="10" xfId="1" applyFont="1" applyFill="1" applyBorder="1" applyAlignment="1">
      <alignment horizontal="center" vertical="center" shrinkToFit="1"/>
    </xf>
    <xf numFmtId="41" fontId="150" fillId="0" borderId="11" xfId="1" applyFont="1" applyFill="1" applyBorder="1" applyAlignment="1">
      <alignment horizontal="center" vertical="center" shrinkToFit="1"/>
    </xf>
    <xf numFmtId="41" fontId="150" fillId="0" borderId="14" xfId="1" applyFont="1" applyFill="1" applyBorder="1" applyAlignment="1">
      <alignment horizontal="center" vertical="center" shrinkToFit="1"/>
    </xf>
    <xf numFmtId="41" fontId="134" fillId="0" borderId="10" xfId="1" applyFont="1" applyFill="1" applyBorder="1" applyAlignment="1">
      <alignment horizontal="center" vertical="center" shrinkToFit="1"/>
    </xf>
    <xf numFmtId="41" fontId="134" fillId="0" borderId="11" xfId="1" applyFont="1" applyFill="1" applyBorder="1" applyAlignment="1">
      <alignment horizontal="center" vertical="center" shrinkToFit="1"/>
    </xf>
    <xf numFmtId="41" fontId="134" fillId="0" borderId="14" xfId="1" applyFont="1" applyFill="1" applyBorder="1" applyAlignment="1">
      <alignment horizontal="center" vertical="center" shrinkToFit="1"/>
    </xf>
    <xf numFmtId="177" fontId="150" fillId="0" borderId="10" xfId="2" applyNumberFormat="1" applyFont="1" applyFill="1" applyBorder="1" applyAlignment="1">
      <alignment horizontal="center" vertical="center" shrinkToFit="1"/>
    </xf>
    <xf numFmtId="177" fontId="150" fillId="0" borderId="11" xfId="2" applyNumberFormat="1" applyFont="1" applyFill="1" applyBorder="1" applyAlignment="1">
      <alignment horizontal="center" vertical="center" shrinkToFit="1"/>
    </xf>
    <xf numFmtId="177" fontId="150" fillId="0" borderId="12" xfId="2" applyNumberFormat="1" applyFont="1" applyFill="1" applyBorder="1" applyAlignment="1">
      <alignment horizontal="center" vertical="center" shrinkToFit="1"/>
    </xf>
    <xf numFmtId="0" fontId="150" fillId="0" borderId="15" xfId="3" applyFont="1" applyFill="1" applyBorder="1" applyAlignment="1">
      <alignment horizontal="center" vertical="center" shrinkToFit="1"/>
    </xf>
    <xf numFmtId="0" fontId="150" fillId="0" borderId="16" xfId="3" applyFont="1" applyFill="1" applyBorder="1" applyAlignment="1">
      <alignment horizontal="center" vertical="center" shrinkToFit="1"/>
    </xf>
    <xf numFmtId="41" fontId="150" fillId="0" borderId="18" xfId="1" applyFont="1" applyFill="1" applyBorder="1" applyAlignment="1">
      <alignment horizontal="center" vertical="center" shrinkToFit="1"/>
    </xf>
    <xf numFmtId="41" fontId="150" fillId="0" borderId="16" xfId="1" applyFont="1" applyFill="1" applyBorder="1" applyAlignment="1">
      <alignment horizontal="center" vertical="center" shrinkToFit="1"/>
    </xf>
    <xf numFmtId="41" fontId="150" fillId="0" borderId="17" xfId="1" applyFont="1" applyFill="1" applyBorder="1" applyAlignment="1">
      <alignment horizontal="center" vertical="center" shrinkToFit="1"/>
    </xf>
    <xf numFmtId="41" fontId="134" fillId="0" borderId="18" xfId="1" applyFont="1" applyFill="1" applyBorder="1" applyAlignment="1">
      <alignment horizontal="center" vertical="center" shrinkToFit="1"/>
    </xf>
    <xf numFmtId="41" fontId="134" fillId="0" borderId="16" xfId="1" applyFont="1" applyFill="1" applyBorder="1" applyAlignment="1">
      <alignment horizontal="center" vertical="center" shrinkToFit="1"/>
    </xf>
    <xf numFmtId="41" fontId="134" fillId="0" borderId="17" xfId="1" applyFont="1" applyFill="1" applyBorder="1" applyAlignment="1">
      <alignment horizontal="center" vertical="center" shrinkToFit="1"/>
    </xf>
    <xf numFmtId="177" fontId="150" fillId="0" borderId="18" xfId="2" applyNumberFormat="1" applyFont="1" applyFill="1" applyBorder="1" applyAlignment="1">
      <alignment horizontal="center" vertical="center" shrinkToFit="1"/>
    </xf>
    <xf numFmtId="177" fontId="150" fillId="0" borderId="16" xfId="2" applyNumberFormat="1" applyFont="1" applyFill="1" applyBorder="1" applyAlignment="1">
      <alignment horizontal="center" vertical="center" shrinkToFit="1"/>
    </xf>
    <xf numFmtId="177" fontId="150" fillId="0" borderId="19" xfId="2" applyNumberFormat="1" applyFont="1" applyFill="1" applyBorder="1" applyAlignment="1">
      <alignment horizontal="center" vertical="center" shrinkToFit="1"/>
    </xf>
    <xf numFmtId="0" fontId="150" fillId="0" borderId="14" xfId="3" applyFont="1" applyFill="1" applyBorder="1" applyAlignment="1">
      <alignment horizontal="center" vertical="center" shrinkToFit="1"/>
    </xf>
    <xf numFmtId="41" fontId="150" fillId="0" borderId="190" xfId="3" applyNumberFormat="1" applyFont="1" applyFill="1" applyBorder="1" applyAlignment="1">
      <alignment horizontal="center" vertical="center"/>
    </xf>
    <xf numFmtId="0" fontId="150" fillId="43" borderId="25" xfId="3" applyFont="1" applyFill="1" applyBorder="1" applyAlignment="1">
      <alignment horizontal="center" vertical="center" shrinkToFit="1"/>
    </xf>
    <xf numFmtId="0" fontId="150" fillId="43" borderId="6" xfId="3" applyFont="1" applyFill="1" applyBorder="1" applyAlignment="1">
      <alignment horizontal="center" vertical="center" shrinkToFit="1"/>
    </xf>
    <xf numFmtId="0" fontId="150" fillId="43" borderId="5" xfId="3" applyFont="1" applyFill="1" applyBorder="1" applyAlignment="1">
      <alignment horizontal="center" vertical="center" shrinkToFit="1"/>
    </xf>
    <xf numFmtId="0" fontId="150" fillId="43" borderId="26" xfId="3" applyFont="1" applyFill="1" applyBorder="1" applyAlignment="1">
      <alignment horizontal="center" vertical="center" shrinkToFit="1"/>
    </xf>
    <xf numFmtId="0" fontId="150" fillId="43" borderId="7" xfId="3" applyFont="1" applyFill="1" applyBorder="1" applyAlignment="1">
      <alignment horizontal="center" vertical="center" shrinkToFit="1"/>
    </xf>
    <xf numFmtId="41" fontId="119" fillId="51" borderId="199" xfId="1" applyNumberFormat="1" applyFont="1" applyFill="1" applyBorder="1" applyAlignment="1">
      <alignment horizontal="center" vertical="center"/>
    </xf>
    <xf numFmtId="41" fontId="119" fillId="51" borderId="200" xfId="1" applyNumberFormat="1" applyFont="1" applyFill="1" applyBorder="1" applyAlignment="1">
      <alignment horizontal="center" vertical="center"/>
    </xf>
    <xf numFmtId="41" fontId="119" fillId="51" borderId="198" xfId="1" applyNumberFormat="1" applyFont="1" applyFill="1" applyBorder="1" applyAlignment="1">
      <alignment horizontal="center" vertical="center"/>
    </xf>
    <xf numFmtId="41" fontId="119" fillId="51" borderId="190" xfId="1" applyNumberFormat="1" applyFont="1" applyFill="1" applyBorder="1" applyAlignment="1">
      <alignment horizontal="center" vertical="center"/>
    </xf>
    <xf numFmtId="0" fontId="119" fillId="51" borderId="190" xfId="0" applyFont="1" applyFill="1" applyBorder="1" applyAlignment="1">
      <alignment horizontal="center" vertical="center"/>
    </xf>
    <xf numFmtId="0" fontId="134" fillId="0" borderId="190" xfId="0" applyFont="1" applyBorder="1" applyAlignment="1">
      <alignment horizontal="center" vertical="center"/>
    </xf>
    <xf numFmtId="41" fontId="134" fillId="0" borderId="190" xfId="1" applyNumberFormat="1" applyFont="1" applyBorder="1" applyAlignment="1">
      <alignment horizontal="center" vertical="center"/>
    </xf>
    <xf numFmtId="41" fontId="134" fillId="0" borderId="190" xfId="1" applyNumberFormat="1" applyFont="1" applyFill="1" applyBorder="1" applyAlignment="1">
      <alignment horizontal="center" vertical="center" wrapText="1"/>
    </xf>
    <xf numFmtId="41" fontId="158" fillId="51" borderId="190" xfId="1" applyFont="1" applyFill="1" applyBorder="1" applyAlignment="1">
      <alignment horizontal="center" vertical="center" shrinkToFit="1"/>
    </xf>
    <xf numFmtId="177" fontId="158" fillId="51" borderId="190" xfId="2" applyNumberFormat="1" applyFont="1" applyFill="1" applyBorder="1" applyAlignment="1">
      <alignment horizontal="center" vertical="center" shrinkToFit="1"/>
    </xf>
    <xf numFmtId="41" fontId="134" fillId="0" borderId="190" xfId="1" applyNumberFormat="1" applyFont="1" applyFill="1" applyBorder="1" applyAlignment="1">
      <alignment horizontal="center" vertical="center"/>
    </xf>
    <xf numFmtId="0" fontId="134" fillId="0" borderId="190" xfId="0" quotePrefix="1" applyFont="1" applyBorder="1" applyAlignment="1">
      <alignment horizontal="center" vertical="center"/>
    </xf>
    <xf numFmtId="0" fontId="150" fillId="0" borderId="0" xfId="3" applyFont="1" applyFill="1" applyBorder="1" applyAlignment="1">
      <alignment horizontal="center" vertical="center" shrinkToFit="1"/>
    </xf>
    <xf numFmtId="41" fontId="150" fillId="0" borderId="0" xfId="1" applyFont="1" applyFill="1" applyBorder="1" applyAlignment="1">
      <alignment horizontal="center" vertical="center" shrinkToFit="1"/>
    </xf>
    <xf numFmtId="177" fontId="150" fillId="0" borderId="0" xfId="2" applyNumberFormat="1" applyFont="1" applyFill="1" applyBorder="1" applyAlignment="1">
      <alignment horizontal="center" vertical="center" shrinkToFit="1"/>
    </xf>
    <xf numFmtId="177" fontId="150" fillId="0" borderId="190" xfId="2" applyNumberFormat="1" applyFont="1" applyFill="1" applyBorder="1" applyAlignment="1">
      <alignment horizontal="center" vertical="center" shrinkToFit="1"/>
    </xf>
    <xf numFmtId="190" fontId="134" fillId="0" borderId="190" xfId="0" quotePrefix="1" applyNumberFormat="1" applyFont="1" applyBorder="1" applyAlignment="1">
      <alignment horizontal="center" vertical="center"/>
    </xf>
    <xf numFmtId="14" fontId="31" fillId="0" borderId="18" xfId="4" applyNumberFormat="1" applyFont="1" applyFill="1" applyBorder="1" applyAlignment="1">
      <alignment horizontal="center" vertical="center" shrinkToFit="1"/>
    </xf>
    <xf numFmtId="14" fontId="31" fillId="0" borderId="17" xfId="4" applyNumberFormat="1" applyFont="1" applyFill="1" applyBorder="1" applyAlignment="1">
      <alignment horizontal="center" vertical="center" shrinkToFit="1"/>
    </xf>
    <xf numFmtId="9" fontId="52" fillId="0" borderId="18" xfId="23" applyFont="1" applyFill="1" applyBorder="1" applyAlignment="1">
      <alignment horizontal="left" vertical="center" wrapText="1"/>
    </xf>
    <xf numFmtId="9" fontId="52" fillId="0" borderId="19" xfId="23" applyFont="1" applyFill="1" applyBorder="1" applyAlignment="1">
      <alignment horizontal="left" vertical="center" wrapText="1"/>
    </xf>
    <xf numFmtId="14" fontId="31" fillId="0" borderId="10" xfId="4" applyNumberFormat="1" applyFont="1" applyFill="1" applyBorder="1" applyAlignment="1">
      <alignment horizontal="center" vertical="center" shrinkToFit="1"/>
    </xf>
    <xf numFmtId="14" fontId="31" fillId="0" borderId="14" xfId="4" applyNumberFormat="1" applyFont="1" applyFill="1" applyBorder="1" applyAlignment="1">
      <alignment horizontal="center" vertical="center" shrinkToFit="1"/>
    </xf>
    <xf numFmtId="9" fontId="52" fillId="0" borderId="10" xfId="23" applyFont="1" applyFill="1" applyBorder="1" applyAlignment="1">
      <alignment horizontal="left" vertical="center" wrapText="1"/>
    </xf>
    <xf numFmtId="9" fontId="52" fillId="0" borderId="12" xfId="23" applyFont="1" applyFill="1" applyBorder="1" applyAlignment="1">
      <alignment horizontal="left" vertical="center" wrapText="1"/>
    </xf>
    <xf numFmtId="0" fontId="42" fillId="0" borderId="0" xfId="4" applyFont="1" applyBorder="1" applyAlignment="1">
      <alignment horizontal="left" vertical="center" wrapText="1"/>
    </xf>
    <xf numFmtId="177" fontId="39" fillId="0" borderId="10" xfId="4" applyNumberFormat="1" applyFont="1" applyFill="1" applyBorder="1" applyAlignment="1">
      <alignment horizontal="center" vertical="center" wrapText="1"/>
    </xf>
    <xf numFmtId="177" fontId="39" fillId="0" borderId="12" xfId="4" applyNumberFormat="1" applyFont="1" applyFill="1" applyBorder="1" applyAlignment="1">
      <alignment horizontal="center" vertical="center" wrapText="1"/>
    </xf>
    <xf numFmtId="9" fontId="52" fillId="0" borderId="10" xfId="23" applyFont="1" applyFill="1" applyBorder="1" applyAlignment="1">
      <alignment horizontal="center" vertical="center" wrapText="1"/>
    </xf>
    <xf numFmtId="9" fontId="52" fillId="0" borderId="12" xfId="23" applyFont="1" applyFill="1" applyBorder="1" applyAlignment="1">
      <alignment horizontal="center" vertical="center" wrapText="1"/>
    </xf>
    <xf numFmtId="0" fontId="49" fillId="3" borderId="5" xfId="4" applyFont="1" applyFill="1" applyBorder="1" applyAlignment="1">
      <alignment horizontal="center" vertical="center" wrapText="1"/>
    </xf>
    <xf numFmtId="0" fontId="49" fillId="3" borderId="26" xfId="4" applyFont="1" applyFill="1" applyBorder="1" applyAlignment="1">
      <alignment horizontal="center" vertical="center" wrapText="1"/>
    </xf>
    <xf numFmtId="0" fontId="49" fillId="3" borderId="7" xfId="4" applyFont="1" applyFill="1" applyBorder="1" applyAlignment="1">
      <alignment horizontal="center" vertical="center" wrapText="1"/>
    </xf>
    <xf numFmtId="177" fontId="39" fillId="0" borderId="89" xfId="4" applyNumberFormat="1" applyFont="1" applyFill="1" applyBorder="1" applyAlignment="1">
      <alignment horizontal="center" vertical="center" wrapText="1"/>
    </xf>
    <xf numFmtId="177" fontId="39" fillId="0" borderId="119" xfId="4" applyNumberFormat="1" applyFont="1" applyFill="1" applyBorder="1" applyAlignment="1">
      <alignment horizontal="center" vertical="center" wrapText="1"/>
    </xf>
    <xf numFmtId="0" fontId="19" fillId="0" borderId="0" xfId="4" applyFont="1" applyBorder="1" applyAlignment="1">
      <alignment horizontal="left" vertical="center" wrapText="1"/>
    </xf>
    <xf numFmtId="0" fontId="49" fillId="3" borderId="25" xfId="4" applyFont="1" applyFill="1" applyBorder="1" applyAlignment="1">
      <alignment horizontal="center" vertical="center" wrapText="1"/>
    </xf>
    <xf numFmtId="0" fontId="49" fillId="3" borderId="6" xfId="4" applyFont="1" applyFill="1" applyBorder="1" applyAlignment="1">
      <alignment horizontal="center" vertical="center" wrapText="1"/>
    </xf>
    <xf numFmtId="0" fontId="49" fillId="3" borderId="85" xfId="4" applyFont="1" applyFill="1" applyBorder="1" applyAlignment="1">
      <alignment horizontal="center" vertical="center" wrapText="1"/>
    </xf>
    <xf numFmtId="0" fontId="49" fillId="3" borderId="77" xfId="4" applyFont="1" applyFill="1" applyBorder="1" applyAlignment="1">
      <alignment horizontal="center" vertical="center" wrapText="1"/>
    </xf>
    <xf numFmtId="177" fontId="39" fillId="0" borderId="70" xfId="4" applyNumberFormat="1" applyFont="1" applyFill="1" applyBorder="1" applyAlignment="1">
      <alignment horizontal="center" vertical="center" wrapText="1"/>
    </xf>
    <xf numFmtId="177" fontId="39" fillId="0" borderId="110" xfId="4" applyNumberFormat="1" applyFont="1" applyFill="1" applyBorder="1" applyAlignment="1">
      <alignment horizontal="center" vertical="center" wrapText="1"/>
    </xf>
    <xf numFmtId="0" fontId="49" fillId="3" borderId="5" xfId="4" applyFont="1" applyFill="1" applyBorder="1" applyAlignment="1">
      <alignment horizontal="center" vertical="center"/>
    </xf>
    <xf numFmtId="0" fontId="49" fillId="3" borderId="26" xfId="4" applyFont="1" applyFill="1" applyBorder="1" applyAlignment="1">
      <alignment horizontal="center" vertical="center"/>
    </xf>
    <xf numFmtId="0" fontId="49" fillId="3" borderId="86" xfId="4" applyFont="1" applyFill="1" applyBorder="1" applyAlignment="1">
      <alignment horizontal="center" vertical="center"/>
    </xf>
    <xf numFmtId="0" fontId="49" fillId="3" borderId="87" xfId="4" applyFont="1" applyFill="1" applyBorder="1" applyAlignment="1">
      <alignment horizontal="center" vertical="center"/>
    </xf>
    <xf numFmtId="0" fontId="49" fillId="3" borderId="64" xfId="4" applyFont="1" applyFill="1" applyBorder="1" applyAlignment="1">
      <alignment horizontal="center" vertical="center"/>
    </xf>
    <xf numFmtId="0" fontId="49" fillId="3" borderId="31" xfId="4" applyFont="1" applyFill="1" applyBorder="1" applyAlignment="1">
      <alignment horizontal="center" vertical="center"/>
    </xf>
    <xf numFmtId="0" fontId="130" fillId="2" borderId="197" xfId="0" applyFont="1" applyFill="1" applyBorder="1" applyAlignment="1">
      <alignment horizontal="center" vertical="center"/>
    </xf>
    <xf numFmtId="0" fontId="130" fillId="2" borderId="106" xfId="0" applyFont="1" applyFill="1" applyBorder="1" applyAlignment="1">
      <alignment horizontal="center" vertical="center"/>
    </xf>
    <xf numFmtId="0" fontId="120" fillId="51" borderId="190" xfId="0" applyFont="1" applyFill="1" applyBorder="1" applyAlignment="1">
      <alignment horizontal="center" vertical="center" wrapText="1"/>
    </xf>
    <xf numFmtId="0" fontId="131" fillId="2" borderId="190" xfId="0" applyFont="1" applyFill="1" applyBorder="1" applyAlignment="1">
      <alignment horizontal="center" vertical="center"/>
    </xf>
    <xf numFmtId="0" fontId="121" fillId="51" borderId="190" xfId="0" applyFont="1" applyFill="1" applyBorder="1" applyAlignment="1">
      <alignment horizontal="center" vertical="center" wrapText="1"/>
    </xf>
    <xf numFmtId="0" fontId="121" fillId="51" borderId="51" xfId="0" applyFont="1" applyFill="1" applyBorder="1" applyAlignment="1">
      <alignment horizontal="center" vertical="center"/>
    </xf>
    <xf numFmtId="0" fontId="121" fillId="51" borderId="191" xfId="0" applyFont="1" applyFill="1" applyBorder="1" applyAlignment="1">
      <alignment horizontal="center" vertical="center"/>
    </xf>
    <xf numFmtId="0" fontId="121" fillId="51" borderId="52" xfId="0" applyFont="1" applyFill="1" applyBorder="1" applyAlignment="1">
      <alignment horizontal="center" vertical="center"/>
    </xf>
    <xf numFmtId="0" fontId="121" fillId="51" borderId="194" xfId="0" applyFont="1" applyFill="1" applyBorder="1" applyAlignment="1">
      <alignment horizontal="center" vertical="center"/>
    </xf>
    <xf numFmtId="0" fontId="121" fillId="51" borderId="195" xfId="0" applyFont="1" applyFill="1" applyBorder="1" applyAlignment="1">
      <alignment horizontal="center" vertical="center"/>
    </xf>
    <xf numFmtId="0" fontId="121" fillId="51" borderId="196" xfId="0" applyFont="1" applyFill="1" applyBorder="1" applyAlignment="1">
      <alignment horizontal="center" vertical="center"/>
    </xf>
    <xf numFmtId="0" fontId="120" fillId="51" borderId="197" xfId="0" applyFont="1" applyFill="1" applyBorder="1" applyAlignment="1">
      <alignment horizontal="center" vertical="center"/>
    </xf>
    <xf numFmtId="0" fontId="120" fillId="51" borderId="101" xfId="0" applyFont="1" applyFill="1" applyBorder="1" applyAlignment="1">
      <alignment horizontal="center" vertical="center"/>
    </xf>
    <xf numFmtId="0" fontId="120" fillId="51" borderId="197" xfId="0" applyFont="1" applyFill="1" applyBorder="1" applyAlignment="1">
      <alignment horizontal="center" vertical="center" wrapText="1"/>
    </xf>
    <xf numFmtId="0" fontId="120" fillId="51" borderId="101" xfId="0" applyFont="1" applyFill="1" applyBorder="1" applyAlignment="1">
      <alignment horizontal="center" vertical="center" wrapText="1"/>
    </xf>
    <xf numFmtId="0" fontId="120" fillId="51" borderId="106" xfId="0" applyFont="1" applyFill="1" applyBorder="1" applyAlignment="1">
      <alignment horizontal="center" vertical="center"/>
    </xf>
    <xf numFmtId="0" fontId="121" fillId="51" borderId="197" xfId="0" applyFont="1" applyFill="1" applyBorder="1" applyAlignment="1">
      <alignment horizontal="center" vertical="center" wrapText="1"/>
    </xf>
    <xf numFmtId="0" fontId="121" fillId="51" borderId="106" xfId="0" applyFont="1" applyFill="1" applyBorder="1" applyAlignment="1">
      <alignment horizontal="center" vertical="center" wrapText="1"/>
    </xf>
    <xf numFmtId="0" fontId="126" fillId="51" borderId="190" xfId="0" applyFont="1" applyFill="1" applyBorder="1" applyAlignment="1">
      <alignment horizontal="center" vertical="center"/>
    </xf>
    <xf numFmtId="0" fontId="121" fillId="51" borderId="190" xfId="0" applyFont="1" applyFill="1" applyBorder="1" applyAlignment="1">
      <alignment horizontal="center" vertical="center"/>
    </xf>
    <xf numFmtId="0" fontId="121" fillId="51" borderId="101" xfId="0" applyFont="1" applyFill="1" applyBorder="1" applyAlignment="1">
      <alignment horizontal="center" vertical="center" wrapText="1"/>
    </xf>
    <xf numFmtId="0" fontId="122" fillId="51" borderId="197" xfId="0" applyFont="1" applyFill="1" applyBorder="1" applyAlignment="1">
      <alignment horizontal="center" vertical="center"/>
    </xf>
    <xf numFmtId="0" fontId="122" fillId="51" borderId="101" xfId="0" applyFont="1" applyFill="1" applyBorder="1" applyAlignment="1">
      <alignment horizontal="center" vertical="center"/>
    </xf>
    <xf numFmtId="0" fontId="122" fillId="51" borderId="106" xfId="0" applyFont="1" applyFill="1" applyBorder="1" applyAlignment="1">
      <alignment horizontal="center" vertical="center"/>
    </xf>
    <xf numFmtId="0" fontId="109" fillId="2" borderId="197" xfId="0" applyFont="1" applyFill="1" applyBorder="1" applyAlignment="1">
      <alignment horizontal="center" vertical="center"/>
    </xf>
    <xf numFmtId="0" fontId="109" fillId="2" borderId="101" xfId="0" applyFont="1" applyFill="1" applyBorder="1" applyAlignment="1">
      <alignment horizontal="center" vertical="center"/>
    </xf>
    <xf numFmtId="0" fontId="109" fillId="2" borderId="106" xfId="0" applyFont="1" applyFill="1" applyBorder="1" applyAlignment="1">
      <alignment horizontal="center" vertical="center"/>
    </xf>
    <xf numFmtId="0" fontId="109" fillId="2" borderId="51" xfId="0" applyFont="1" applyFill="1" applyBorder="1" applyAlignment="1">
      <alignment horizontal="center" vertical="center"/>
    </xf>
    <xf numFmtId="0" fontId="109" fillId="2" borderId="192" xfId="0" applyFont="1" applyFill="1" applyBorder="1" applyAlignment="1">
      <alignment horizontal="center" vertical="center"/>
    </xf>
    <xf numFmtId="0" fontId="109" fillId="2" borderId="194" xfId="0" applyFont="1" applyFill="1" applyBorder="1" applyAlignment="1">
      <alignment horizontal="center" vertical="center"/>
    </xf>
    <xf numFmtId="0" fontId="109" fillId="2" borderId="190" xfId="0" applyFont="1" applyFill="1" applyBorder="1" applyAlignment="1">
      <alignment horizontal="center" vertical="center"/>
    </xf>
    <xf numFmtId="0" fontId="120" fillId="51" borderId="106" xfId="0" applyFont="1" applyFill="1" applyBorder="1" applyAlignment="1">
      <alignment horizontal="center" vertical="center" wrapText="1"/>
    </xf>
    <xf numFmtId="188" fontId="222" fillId="2" borderId="190" xfId="1" applyNumberFormat="1" applyFont="1" applyFill="1" applyBorder="1" applyAlignment="1">
      <alignment horizontal="center" vertical="center"/>
    </xf>
    <xf numFmtId="188" fontId="221" fillId="2" borderId="190" xfId="1" applyNumberFormat="1" applyFont="1" applyFill="1" applyBorder="1" applyAlignment="1">
      <alignment horizontal="center" vertical="center"/>
    </xf>
    <xf numFmtId="188" fontId="221" fillId="2" borderId="197" xfId="1" applyNumberFormat="1" applyFont="1" applyFill="1" applyBorder="1" applyAlignment="1">
      <alignment horizontal="center" vertical="center"/>
    </xf>
    <xf numFmtId="188" fontId="221" fillId="2" borderId="106" xfId="1" applyNumberFormat="1" applyFont="1" applyFill="1" applyBorder="1" applyAlignment="1">
      <alignment horizontal="center" vertical="center"/>
    </xf>
    <xf numFmtId="0" fontId="0" fillId="2" borderId="190" xfId="0" applyFill="1" applyBorder="1" applyAlignment="1">
      <alignment horizontal="center" vertical="center"/>
    </xf>
    <xf numFmtId="0" fontId="220" fillId="51" borderId="190" xfId="0" applyFont="1" applyFill="1" applyBorder="1" applyAlignment="1">
      <alignment horizontal="center" vertical="center"/>
    </xf>
    <xf numFmtId="0" fontId="125" fillId="51" borderId="190" xfId="0" applyFont="1" applyFill="1" applyBorder="1" applyAlignment="1">
      <alignment horizontal="center" vertical="center" wrapText="1"/>
    </xf>
    <xf numFmtId="0" fontId="119" fillId="53" borderId="190" xfId="0" applyFont="1" applyFill="1" applyBorder="1" applyAlignment="1">
      <alignment horizontal="center" vertical="center"/>
    </xf>
    <xf numFmtId="183" fontId="164" fillId="4" borderId="190" xfId="21" quotePrefix="1" applyNumberFormat="1" applyFont="1" applyFill="1" applyBorder="1" applyAlignment="1">
      <alignment horizontal="center" vertical="center" wrapText="1"/>
    </xf>
    <xf numFmtId="0" fontId="164" fillId="4" borderId="190" xfId="21" applyFont="1" applyFill="1" applyBorder="1" applyAlignment="1">
      <alignment horizontal="center" vertical="center" wrapText="1"/>
    </xf>
    <xf numFmtId="49" fontId="164" fillId="4" borderId="190" xfId="21" applyNumberFormat="1" applyFont="1" applyFill="1" applyBorder="1" applyAlignment="1">
      <alignment horizontal="center" vertical="center" wrapText="1"/>
    </xf>
    <xf numFmtId="49" fontId="164" fillId="4" borderId="190" xfId="21" quotePrefix="1" applyNumberFormat="1" applyFont="1" applyFill="1" applyBorder="1" applyAlignment="1">
      <alignment horizontal="center" vertical="center" wrapText="1"/>
    </xf>
    <xf numFmtId="49" fontId="164" fillId="4" borderId="190" xfId="8" applyNumberFormat="1" applyFont="1" applyFill="1" applyBorder="1" applyAlignment="1">
      <alignment horizontal="center" vertical="center" wrapText="1"/>
    </xf>
    <xf numFmtId="41" fontId="154" fillId="0" borderId="175" xfId="27" applyFont="1" applyBorder="1" applyAlignment="1">
      <alignment horizontal="center" vertical="center"/>
    </xf>
    <xf numFmtId="41" fontId="154" fillId="0" borderId="177" xfId="27" applyFont="1" applyBorder="1" applyAlignment="1">
      <alignment horizontal="center" vertical="center"/>
    </xf>
    <xf numFmtId="41" fontId="112" fillId="0" borderId="175" xfId="27" applyFont="1" applyBorder="1" applyAlignment="1">
      <alignment horizontal="center" vertical="center"/>
    </xf>
    <xf numFmtId="41" fontId="112" fillId="0" borderId="177" xfId="27" applyFont="1" applyBorder="1" applyAlignment="1">
      <alignment horizontal="center" vertical="center"/>
    </xf>
    <xf numFmtId="0" fontId="162" fillId="5" borderId="175" xfId="4" applyFont="1" applyFill="1" applyBorder="1" applyAlignment="1">
      <alignment horizontal="center" vertical="center"/>
    </xf>
    <xf numFmtId="0" fontId="162" fillId="5" borderId="177" xfId="4" applyFont="1" applyFill="1" applyBorder="1" applyAlignment="1">
      <alignment horizontal="center" vertical="center"/>
    </xf>
    <xf numFmtId="41" fontId="159" fillId="14" borderId="175" xfId="4" applyNumberFormat="1" applyFont="1" applyFill="1" applyBorder="1" applyAlignment="1">
      <alignment horizontal="center" vertical="center"/>
    </xf>
    <xf numFmtId="41" fontId="159" fillId="14" borderId="177" xfId="4" applyNumberFormat="1" applyFont="1" applyFill="1" applyBorder="1" applyAlignment="1">
      <alignment horizontal="center" vertical="center"/>
    </xf>
    <xf numFmtId="0" fontId="154" fillId="13" borderId="175" xfId="4" applyFont="1" applyFill="1" applyBorder="1" applyAlignment="1">
      <alignment horizontal="center" vertical="center" wrapText="1"/>
    </xf>
    <xf numFmtId="0" fontId="154" fillId="13" borderId="177" xfId="4" applyFont="1" applyFill="1" applyBorder="1" applyAlignment="1">
      <alignment horizontal="center" vertical="center" wrapText="1"/>
    </xf>
    <xf numFmtId="0" fontId="154" fillId="13" borderId="176" xfId="4" applyFont="1" applyFill="1" applyBorder="1" applyAlignment="1">
      <alignment horizontal="center" vertical="center" wrapText="1"/>
    </xf>
    <xf numFmtId="0" fontId="163" fillId="4" borderId="190" xfId="21" applyFont="1" applyFill="1" applyBorder="1" applyAlignment="1">
      <alignment horizontal="center" vertical="center" wrapText="1"/>
    </xf>
    <xf numFmtId="190" fontId="163" fillId="4" borderId="190" xfId="21" quotePrefix="1" applyNumberFormat="1" applyFont="1" applyFill="1" applyBorder="1" applyAlignment="1">
      <alignment horizontal="center" vertical="center" wrapText="1"/>
    </xf>
    <xf numFmtId="0" fontId="109" fillId="0" borderId="190" xfId="0" applyFont="1" applyBorder="1" applyAlignment="1">
      <alignment horizontal="center" vertical="center" wrapText="1"/>
    </xf>
    <xf numFmtId="0" fontId="109" fillId="0" borderId="0" xfId="0" applyFont="1"/>
    <xf numFmtId="0" fontId="154" fillId="13" borderId="174" xfId="4" applyFont="1" applyFill="1" applyBorder="1" applyAlignment="1">
      <alignment horizontal="center" vertical="center" wrapText="1"/>
    </xf>
    <xf numFmtId="0" fontId="154" fillId="13" borderId="202" xfId="4" applyFont="1" applyFill="1" applyBorder="1" applyAlignment="1">
      <alignment horizontal="center" vertical="center" wrapText="1"/>
    </xf>
    <xf numFmtId="0" fontId="153" fillId="0" borderId="0" xfId="4" applyFont="1" applyBorder="1" applyAlignment="1">
      <alignment horizontal="left" vertical="center" wrapText="1"/>
    </xf>
    <xf numFmtId="0" fontId="159" fillId="51" borderId="190" xfId="21" applyFont="1" applyFill="1" applyBorder="1" applyAlignment="1">
      <alignment horizontal="center" vertical="center" wrapText="1"/>
    </xf>
    <xf numFmtId="0" fontId="159" fillId="51" borderId="190" xfId="4" applyFont="1" applyFill="1" applyBorder="1" applyAlignment="1">
      <alignment horizontal="center" vertical="center" wrapText="1"/>
    </xf>
    <xf numFmtId="14" fontId="163" fillId="0" borderId="190" xfId="21" applyNumberFormat="1" applyFont="1" applyFill="1" applyBorder="1" applyAlignment="1">
      <alignment horizontal="center" vertical="center" wrapText="1"/>
    </xf>
    <xf numFmtId="0" fontId="155" fillId="56" borderId="190" xfId="4" applyFont="1" applyFill="1" applyBorder="1" applyAlignment="1">
      <alignment horizontal="center" vertical="center"/>
    </xf>
    <xf numFmtId="0" fontId="159" fillId="51" borderId="197" xfId="21" applyFont="1" applyFill="1" applyBorder="1" applyAlignment="1">
      <alignment horizontal="center" vertical="center" wrapText="1"/>
    </xf>
    <xf numFmtId="0" fontId="159" fillId="51" borderId="190" xfId="4" applyFont="1" applyFill="1" applyBorder="1" applyAlignment="1">
      <alignment horizontal="center" vertical="center" shrinkToFit="1"/>
    </xf>
    <xf numFmtId="0" fontId="159" fillId="51" borderId="190" xfId="4" applyFont="1" applyFill="1" applyBorder="1" applyAlignment="1">
      <alignment horizontal="center" vertical="center"/>
    </xf>
    <xf numFmtId="14" fontId="160" fillId="0" borderId="190" xfId="21" applyNumberFormat="1" applyFont="1" applyBorder="1" applyAlignment="1">
      <alignment horizontal="center" vertical="center" wrapText="1"/>
    </xf>
    <xf numFmtId="196" fontId="160" fillId="0" borderId="190" xfId="21" applyNumberFormat="1" applyFont="1" applyBorder="1" applyAlignment="1">
      <alignment horizontal="center" vertical="center" wrapText="1"/>
    </xf>
    <xf numFmtId="197" fontId="154" fillId="4" borderId="190" xfId="21" applyNumberFormat="1" applyFont="1" applyFill="1" applyBorder="1" applyAlignment="1">
      <alignment horizontal="center" vertical="center"/>
    </xf>
    <xf numFmtId="14" fontId="161" fillId="0" borderId="190" xfId="21" applyNumberFormat="1" applyFont="1" applyBorder="1" applyAlignment="1">
      <alignment horizontal="center" vertical="center" wrapText="1"/>
    </xf>
    <xf numFmtId="41" fontId="114" fillId="3" borderId="124" xfId="1" applyFont="1" applyFill="1" applyBorder="1" applyAlignment="1">
      <alignment horizontal="center" vertical="center"/>
    </xf>
    <xf numFmtId="41" fontId="114" fillId="3" borderId="205" xfId="1" applyFont="1" applyFill="1" applyBorder="1" applyAlignment="1">
      <alignment horizontal="center" vertical="center"/>
    </xf>
    <xf numFmtId="41" fontId="114" fillId="3" borderId="237" xfId="1" applyFont="1" applyFill="1" applyBorder="1" applyAlignment="1">
      <alignment horizontal="center" vertical="center"/>
    </xf>
    <xf numFmtId="41" fontId="114" fillId="3" borderId="124" xfId="1" applyFont="1" applyFill="1" applyBorder="1" applyAlignment="1">
      <alignment horizontal="center" vertical="center" wrapText="1"/>
    </xf>
    <xf numFmtId="41" fontId="114" fillId="3" borderId="205" xfId="1" applyFont="1" applyFill="1" applyBorder="1" applyAlignment="1">
      <alignment horizontal="center" vertical="center" wrapText="1"/>
    </xf>
    <xf numFmtId="0" fontId="116" fillId="2" borderId="36" xfId="6" applyFont="1" applyFill="1" applyBorder="1" applyAlignment="1">
      <alignment horizontal="center" vertical="center"/>
    </xf>
    <xf numFmtId="0" fontId="116" fillId="2" borderId="37" xfId="6" applyFont="1" applyFill="1" applyBorder="1" applyAlignment="1">
      <alignment horizontal="center" vertical="center"/>
    </xf>
    <xf numFmtId="0" fontId="116" fillId="2" borderId="38" xfId="6" applyFont="1" applyFill="1" applyBorder="1" applyAlignment="1">
      <alignment horizontal="center" vertical="center"/>
    </xf>
    <xf numFmtId="0" fontId="109" fillId="2" borderId="237" xfId="0" applyFont="1" applyFill="1" applyBorder="1" applyAlignment="1">
      <alignment horizontal="center" vertical="center"/>
    </xf>
    <xf numFmtId="0" fontId="109" fillId="2" borderId="205" xfId="0" applyFont="1" applyFill="1" applyBorder="1" applyAlignment="1">
      <alignment horizontal="center" vertical="center"/>
    </xf>
    <xf numFmtId="0" fontId="109" fillId="2" borderId="226" xfId="0" applyFont="1" applyFill="1" applyBorder="1" applyAlignment="1">
      <alignment horizontal="center" vertical="center"/>
    </xf>
    <xf numFmtId="0" fontId="109" fillId="2" borderId="241" xfId="0" applyFont="1" applyFill="1" applyBorder="1" applyAlignment="1">
      <alignment horizontal="center" vertical="center"/>
    </xf>
    <xf numFmtId="0" fontId="109" fillId="2" borderId="242" xfId="0" applyFont="1" applyFill="1" applyBorder="1" applyAlignment="1">
      <alignment horizontal="center" vertical="center"/>
    </xf>
    <xf numFmtId="0" fontId="109" fillId="2" borderId="223" xfId="0" applyFont="1" applyFill="1" applyBorder="1" applyAlignment="1">
      <alignment horizontal="center" vertical="center"/>
    </xf>
    <xf numFmtId="41" fontId="114" fillId="51" borderId="74" xfId="1" applyFont="1" applyFill="1" applyBorder="1" applyAlignment="1">
      <alignment horizontal="center" vertical="center" wrapText="1"/>
    </xf>
    <xf numFmtId="41" fontId="114" fillId="51" borderId="90" xfId="1" applyFont="1" applyFill="1" applyBorder="1" applyAlignment="1">
      <alignment horizontal="center" vertical="center"/>
    </xf>
    <xf numFmtId="0" fontId="114" fillId="3" borderId="237" xfId="6" applyFont="1" applyFill="1" applyBorder="1" applyAlignment="1">
      <alignment horizontal="center" vertical="center" wrapText="1"/>
    </xf>
    <xf numFmtId="0" fontId="114" fillId="3" borderId="183" xfId="6" applyFont="1" applyFill="1" applyBorder="1" applyAlignment="1">
      <alignment horizontal="center" vertical="center" wrapText="1"/>
    </xf>
    <xf numFmtId="0" fontId="114" fillId="3" borderId="205" xfId="6" applyFont="1" applyFill="1" applyBorder="1" applyAlignment="1">
      <alignment horizontal="center" vertical="center" wrapText="1"/>
    </xf>
    <xf numFmtId="0" fontId="114" fillId="3" borderId="237" xfId="6" applyFont="1" applyFill="1" applyBorder="1" applyAlignment="1">
      <alignment horizontal="center" vertical="center"/>
    </xf>
    <xf numFmtId="0" fontId="114" fillId="3" borderId="183" xfId="6" applyFont="1" applyFill="1" applyBorder="1" applyAlignment="1">
      <alignment horizontal="center" vertical="center"/>
    </xf>
    <xf numFmtId="0" fontId="114" fillId="3" borderId="205" xfId="6" applyFont="1" applyFill="1" applyBorder="1" applyAlignment="1">
      <alignment horizontal="center" vertical="center"/>
    </xf>
    <xf numFmtId="180" fontId="114" fillId="3" borderId="25" xfId="1" applyNumberFormat="1" applyFont="1" applyFill="1" applyBorder="1" applyAlignment="1">
      <alignment horizontal="center" vertical="center"/>
    </xf>
    <xf numFmtId="180" fontId="114" fillId="3" borderId="6" xfId="1" applyNumberFormat="1" applyFont="1" applyFill="1" applyBorder="1" applyAlignment="1">
      <alignment horizontal="center" vertical="center"/>
    </xf>
    <xf numFmtId="180" fontId="114" fillId="3" borderId="102" xfId="1" applyNumberFormat="1" applyFont="1" applyFill="1" applyBorder="1" applyAlignment="1">
      <alignment horizontal="center" vertical="center"/>
    </xf>
    <xf numFmtId="41" fontId="114" fillId="3" borderId="94" xfId="1" applyFont="1" applyFill="1" applyBorder="1" applyAlignment="1">
      <alignment horizontal="center" vertical="center"/>
    </xf>
    <xf numFmtId="41" fontId="114" fillId="3" borderId="6" xfId="1" applyFont="1" applyFill="1" applyBorder="1" applyAlignment="1">
      <alignment horizontal="center" vertical="center"/>
    </xf>
    <xf numFmtId="41" fontId="114" fillId="3" borderId="7" xfId="1" applyFont="1" applyFill="1" applyBorder="1" applyAlignment="1">
      <alignment horizontal="center" vertical="center"/>
    </xf>
    <xf numFmtId="41" fontId="114" fillId="3" borderId="237" xfId="1" applyFont="1" applyFill="1" applyBorder="1" applyAlignment="1">
      <alignment horizontal="center" vertical="center" wrapText="1"/>
    </xf>
    <xf numFmtId="41" fontId="114" fillId="3" borderId="183" xfId="1" applyFont="1" applyFill="1" applyBorder="1" applyAlignment="1">
      <alignment horizontal="center" vertical="center" wrapText="1"/>
    </xf>
    <xf numFmtId="41" fontId="114" fillId="3" borderId="238" xfId="1" applyFont="1" applyFill="1" applyBorder="1" applyAlignment="1">
      <alignment horizontal="center" vertical="center"/>
    </xf>
    <xf numFmtId="41" fontId="114" fillId="3" borderId="239" xfId="1" applyFont="1" applyFill="1" applyBorder="1" applyAlignment="1">
      <alignment horizontal="center" vertical="center"/>
    </xf>
    <xf numFmtId="41" fontId="114" fillId="3" borderId="240" xfId="1" applyFont="1" applyFill="1" applyBorder="1" applyAlignment="1">
      <alignment horizontal="center" vertical="center"/>
    </xf>
    <xf numFmtId="41" fontId="114" fillId="3" borderId="125" xfId="1" applyFont="1" applyFill="1" applyBorder="1" applyAlignment="1">
      <alignment horizontal="center" vertical="center"/>
    </xf>
    <xf numFmtId="41" fontId="114" fillId="3" borderId="103" xfId="1" applyFont="1" applyFill="1" applyBorder="1" applyAlignment="1">
      <alignment horizontal="center" vertical="center"/>
    </xf>
    <xf numFmtId="41" fontId="114" fillId="3" borderId="211" xfId="1" applyFont="1" applyFill="1" applyBorder="1" applyAlignment="1">
      <alignment horizontal="center" vertical="center"/>
    </xf>
    <xf numFmtId="41" fontId="114" fillId="3" borderId="118" xfId="1" applyFont="1" applyFill="1" applyBorder="1" applyAlignment="1">
      <alignment horizontal="center" vertical="center"/>
    </xf>
    <xf numFmtId="41" fontId="114" fillId="51" borderId="74" xfId="1" applyFont="1" applyFill="1" applyBorder="1" applyAlignment="1">
      <alignment horizontal="center" vertical="center"/>
    </xf>
    <xf numFmtId="0" fontId="114" fillId="2" borderId="34" xfId="0" applyFont="1" applyFill="1" applyBorder="1" applyAlignment="1">
      <alignment horizontal="center" vertical="center"/>
    </xf>
    <xf numFmtId="0" fontId="114" fillId="2" borderId="91" xfId="0" applyFont="1" applyFill="1" applyBorder="1" applyAlignment="1">
      <alignment horizontal="center" vertical="center"/>
    </xf>
    <xf numFmtId="0" fontId="114" fillId="2" borderId="184" xfId="0" applyFont="1" applyFill="1" applyBorder="1" applyAlignment="1">
      <alignment horizontal="center" vertical="center"/>
    </xf>
    <xf numFmtId="0" fontId="118" fillId="0" borderId="227" xfId="0" applyFont="1" applyBorder="1" applyAlignment="1">
      <alignment horizontal="center" vertical="center" wrapText="1"/>
    </xf>
    <xf numFmtId="0" fontId="118" fillId="0" borderId="228" xfId="0" applyFont="1" applyBorder="1" applyAlignment="1">
      <alignment horizontal="center" vertical="center" wrapText="1"/>
    </xf>
    <xf numFmtId="0" fontId="118" fillId="0" borderId="226" xfId="0" applyFont="1" applyBorder="1" applyAlignment="1">
      <alignment horizontal="center" vertical="center" wrapText="1"/>
    </xf>
    <xf numFmtId="0" fontId="118" fillId="0" borderId="114" xfId="0" applyFont="1" applyBorder="1" applyAlignment="1">
      <alignment horizontal="center" vertical="center" wrapText="1"/>
    </xf>
    <xf numFmtId="0" fontId="118" fillId="0" borderId="115" xfId="0" applyFont="1" applyBorder="1" applyAlignment="1">
      <alignment horizontal="center" vertical="center" wrapText="1"/>
    </xf>
    <xf numFmtId="0" fontId="118" fillId="0" borderId="219" xfId="0" applyFont="1" applyBorder="1" applyAlignment="1">
      <alignment horizontal="center" vertical="center" wrapText="1"/>
    </xf>
    <xf numFmtId="0" fontId="118" fillId="0" borderId="220" xfId="0" applyFont="1" applyBorder="1" applyAlignment="1">
      <alignment horizontal="center" vertical="center" wrapText="1"/>
    </xf>
    <xf numFmtId="0" fontId="118" fillId="0" borderId="223" xfId="0" applyFont="1" applyBorder="1" applyAlignment="1">
      <alignment horizontal="center" vertical="center" wrapText="1"/>
    </xf>
    <xf numFmtId="41" fontId="154" fillId="0" borderId="209" xfId="1" quotePrefix="1" applyFont="1" applyFill="1" applyBorder="1" applyAlignment="1">
      <alignment vertical="center" wrapText="1"/>
    </xf>
    <xf numFmtId="41" fontId="154" fillId="0" borderId="111" xfId="1" applyFont="1" applyFill="1" applyBorder="1" applyAlignment="1">
      <alignment vertical="center" wrapText="1"/>
    </xf>
    <xf numFmtId="41" fontId="154" fillId="0" borderId="210" xfId="1" applyFont="1" applyFill="1" applyBorder="1" applyAlignment="1">
      <alignment vertical="center" wrapText="1"/>
    </xf>
    <xf numFmtId="41" fontId="154" fillId="0" borderId="91" xfId="1" applyFont="1" applyFill="1" applyBorder="1" applyAlignment="1">
      <alignment vertical="center" wrapText="1"/>
    </xf>
    <xf numFmtId="41" fontId="154" fillId="0" borderId="0" xfId="1" applyFont="1" applyFill="1" applyBorder="1" applyAlignment="1">
      <alignment vertical="center" wrapText="1"/>
    </xf>
    <xf numFmtId="41" fontId="154" fillId="0" borderId="31" xfId="1" applyFont="1" applyFill="1" applyBorder="1" applyAlignment="1">
      <alignment vertical="center" wrapText="1"/>
    </xf>
    <xf numFmtId="41" fontId="154" fillId="0" borderId="184" xfId="1" applyFont="1" applyFill="1" applyBorder="1" applyAlignment="1">
      <alignment vertical="center" wrapText="1"/>
    </xf>
    <xf numFmtId="41" fontId="154" fillId="0" borderId="92" xfId="1" applyFont="1" applyFill="1" applyBorder="1" applyAlignment="1">
      <alignment vertical="center" wrapText="1"/>
    </xf>
    <xf numFmtId="41" fontId="154" fillId="0" borderId="201" xfId="1" applyFont="1" applyFill="1" applyBorder="1" applyAlignment="1">
      <alignment vertical="center" wrapText="1"/>
    </xf>
    <xf numFmtId="0" fontId="114" fillId="51" borderId="33" xfId="6" applyFont="1" applyFill="1" applyBorder="1" applyAlignment="1">
      <alignment horizontal="center" vertical="center" wrapText="1"/>
    </xf>
    <xf numFmtId="0" fontId="114" fillId="51" borderId="74" xfId="6" applyFont="1" applyFill="1" applyBorder="1" applyAlignment="1">
      <alignment horizontal="center" vertical="center" wrapText="1"/>
    </xf>
    <xf numFmtId="0" fontId="114" fillId="51" borderId="90" xfId="6" applyFont="1" applyFill="1" applyBorder="1" applyAlignment="1">
      <alignment horizontal="center" vertical="center" wrapText="1"/>
    </xf>
    <xf numFmtId="0" fontId="114" fillId="51" borderId="33" xfId="6" applyFont="1" applyFill="1" applyBorder="1" applyAlignment="1">
      <alignment horizontal="center" vertical="center"/>
    </xf>
    <xf numFmtId="0" fontId="114" fillId="51" borderId="74" xfId="6" applyFont="1" applyFill="1" applyBorder="1" applyAlignment="1">
      <alignment horizontal="center" vertical="center"/>
    </xf>
    <xf numFmtId="0" fontId="114" fillId="51" borderId="90" xfId="6" applyFont="1" applyFill="1" applyBorder="1" applyAlignment="1">
      <alignment horizontal="center" vertical="center"/>
    </xf>
    <xf numFmtId="180" fontId="114" fillId="51" borderId="33" xfId="1" applyNumberFormat="1" applyFont="1" applyFill="1" applyBorder="1" applyAlignment="1">
      <alignment horizontal="center" vertical="center"/>
    </xf>
    <xf numFmtId="180" fontId="114" fillId="51" borderId="25" xfId="1" applyNumberFormat="1" applyFont="1" applyFill="1" applyBorder="1" applyAlignment="1">
      <alignment horizontal="center" vertical="center"/>
    </xf>
    <xf numFmtId="41" fontId="114" fillId="51" borderId="94" xfId="1" applyFont="1" applyFill="1" applyBorder="1" applyAlignment="1">
      <alignment horizontal="center" vertical="center"/>
    </xf>
    <xf numFmtId="41" fontId="114" fillId="51" borderId="6" xfId="1" applyFont="1" applyFill="1" applyBorder="1" applyAlignment="1">
      <alignment horizontal="center" vertical="center"/>
    </xf>
    <xf numFmtId="41" fontId="114" fillId="51" borderId="7" xfId="1" applyFont="1" applyFill="1" applyBorder="1" applyAlignment="1">
      <alignment horizontal="center" vertical="center"/>
    </xf>
    <xf numFmtId="41" fontId="114" fillId="51" borderId="33" xfId="1" applyFont="1" applyFill="1" applyBorder="1" applyAlignment="1">
      <alignment horizontal="center" vertical="center" wrapText="1"/>
    </xf>
    <xf numFmtId="41" fontId="114" fillId="51" borderId="25" xfId="1" applyFont="1" applyFill="1" applyBorder="1" applyAlignment="1">
      <alignment horizontal="center" vertical="center"/>
    </xf>
    <xf numFmtId="41" fontId="114" fillId="51" borderId="124" xfId="1" applyFont="1" applyFill="1" applyBorder="1" applyAlignment="1">
      <alignment horizontal="center" vertical="center"/>
    </xf>
    <xf numFmtId="41" fontId="114" fillId="51" borderId="205" xfId="1" applyFont="1" applyFill="1" applyBorder="1" applyAlignment="1">
      <alignment horizontal="center" vertical="center"/>
    </xf>
    <xf numFmtId="41" fontId="114" fillId="51" borderId="183" xfId="1" applyFont="1" applyFill="1" applyBorder="1" applyAlignment="1">
      <alignment horizontal="center" vertical="center" wrapText="1"/>
    </xf>
    <xf numFmtId="41" fontId="114" fillId="51" borderId="205" xfId="1" applyFont="1" applyFill="1" applyBorder="1" applyAlignment="1">
      <alignment horizontal="center" vertical="center" wrapText="1"/>
    </xf>
    <xf numFmtId="41" fontId="154" fillId="0" borderId="116" xfId="1" quotePrefix="1" applyFont="1" applyBorder="1" applyAlignment="1">
      <alignment horizontal="left" vertical="center" wrapText="1"/>
    </xf>
    <xf numFmtId="41" fontId="154" fillId="0" borderId="111" xfId="1" quotePrefix="1" applyFont="1" applyBorder="1" applyAlignment="1">
      <alignment horizontal="left" vertical="center" wrapText="1"/>
    </xf>
    <xf numFmtId="41" fontId="154" fillId="0" borderId="117" xfId="1" quotePrefix="1" applyFont="1" applyBorder="1" applyAlignment="1">
      <alignment horizontal="left" vertical="center" wrapText="1"/>
    </xf>
    <xf numFmtId="41" fontId="154" fillId="0" borderId="184" xfId="1" quotePrefix="1" applyFont="1" applyBorder="1" applyAlignment="1">
      <alignment horizontal="left" vertical="center" wrapText="1"/>
    </xf>
    <xf numFmtId="41" fontId="154" fillId="0" borderId="92" xfId="1" quotePrefix="1" applyFont="1" applyBorder="1" applyAlignment="1">
      <alignment horizontal="left" vertical="center" wrapText="1"/>
    </xf>
    <xf numFmtId="41" fontId="154" fillId="0" borderId="201" xfId="1" quotePrefix="1" applyFont="1" applyBorder="1" applyAlignment="1">
      <alignment horizontal="left" vertical="center" wrapText="1"/>
    </xf>
    <xf numFmtId="0" fontId="112" fillId="0" borderId="219" xfId="0" applyFont="1" applyBorder="1" applyAlignment="1">
      <alignment horizontal="center" vertical="center" wrapText="1"/>
    </xf>
    <xf numFmtId="0" fontId="112" fillId="0" borderId="220" xfId="0" applyFont="1" applyBorder="1" applyAlignment="1">
      <alignment horizontal="center" vertical="center" wrapText="1"/>
    </xf>
    <xf numFmtId="0" fontId="118" fillId="0" borderId="218" xfId="0" applyFont="1" applyBorder="1" applyAlignment="1">
      <alignment horizontal="center" vertical="center" wrapText="1"/>
    </xf>
    <xf numFmtId="0" fontId="118" fillId="0" borderId="224" xfId="0" applyFont="1" applyBorder="1" applyAlignment="1">
      <alignment horizontal="center" vertical="center" wrapText="1"/>
    </xf>
    <xf numFmtId="0" fontId="118" fillId="0" borderId="231" xfId="0" applyFont="1" applyBorder="1" applyAlignment="1">
      <alignment horizontal="center" vertical="center" wrapText="1"/>
    </xf>
    <xf numFmtId="0" fontId="118" fillId="0" borderId="232" xfId="0" applyFont="1" applyBorder="1" applyAlignment="1">
      <alignment horizontal="center" vertical="center" wrapText="1"/>
    </xf>
    <xf numFmtId="0" fontId="112" fillId="0" borderId="227" xfId="0" applyFont="1" applyBorder="1" applyAlignment="1">
      <alignment horizontal="center" vertical="center" wrapText="1"/>
    </xf>
    <xf numFmtId="0" fontId="112" fillId="0" borderId="228" xfId="0" applyFont="1" applyBorder="1" applyAlignment="1">
      <alignment horizontal="center" vertical="center" wrapText="1"/>
    </xf>
    <xf numFmtId="41" fontId="114" fillId="51" borderId="162" xfId="1" applyFont="1" applyFill="1" applyBorder="1" applyAlignment="1">
      <alignment horizontal="center" vertical="center"/>
    </xf>
    <xf numFmtId="41" fontId="114" fillId="51" borderId="122" xfId="1" applyFont="1" applyFill="1" applyBorder="1" applyAlignment="1">
      <alignment horizontal="center" vertical="center"/>
    </xf>
    <xf numFmtId="41" fontId="114" fillId="51" borderId="95" xfId="1" applyFont="1" applyFill="1" applyBorder="1" applyAlignment="1">
      <alignment horizontal="center" vertical="center"/>
    </xf>
    <xf numFmtId="41" fontId="114" fillId="51" borderId="96" xfId="1" applyFont="1" applyFill="1" applyBorder="1" applyAlignment="1">
      <alignment horizontal="center" vertical="center"/>
    </xf>
    <xf numFmtId="0" fontId="159" fillId="51" borderId="190" xfId="4" applyFont="1" applyFill="1" applyBorder="1" applyAlignment="1" applyProtection="1">
      <alignment horizontal="center" vertical="center" wrapText="1"/>
    </xf>
    <xf numFmtId="0" fontId="109" fillId="2" borderId="190" xfId="4" applyFont="1" applyFill="1" applyBorder="1" applyAlignment="1">
      <alignment horizontal="center" vertical="center" textRotation="255" wrapText="1"/>
    </xf>
    <xf numFmtId="0" fontId="109" fillId="2" borderId="190" xfId="4" applyFont="1" applyFill="1" applyBorder="1" applyAlignment="1">
      <alignment horizontal="center" vertical="center" textRotation="255"/>
    </xf>
    <xf numFmtId="0" fontId="159" fillId="51" borderId="190" xfId="4" applyNumberFormat="1" applyFont="1" applyFill="1" applyBorder="1" applyAlignment="1" applyProtection="1">
      <alignment horizontal="center" vertical="center" wrapText="1"/>
    </xf>
    <xf numFmtId="0" fontId="44" fillId="18" borderId="184" xfId="0" applyFont="1" applyFill="1" applyBorder="1" applyAlignment="1">
      <alignment vertical="center"/>
    </xf>
    <xf numFmtId="0" fontId="44" fillId="18" borderId="180" xfId="0" applyFont="1" applyFill="1" applyBorder="1" applyAlignment="1">
      <alignment vertical="center"/>
    </xf>
    <xf numFmtId="0" fontId="32" fillId="0" borderId="140" xfId="0" applyFont="1" applyBorder="1" applyAlignment="1">
      <alignment horizontal="left" vertical="center"/>
    </xf>
    <xf numFmtId="0" fontId="32" fillId="0" borderId="88" xfId="0" applyFont="1" applyBorder="1" applyAlignment="1">
      <alignment horizontal="left" vertical="center"/>
    </xf>
    <xf numFmtId="0" fontId="44" fillId="0" borderId="140" xfId="0" applyFont="1" applyBorder="1" applyAlignment="1">
      <alignment vertical="center"/>
    </xf>
    <xf numFmtId="0" fontId="44" fillId="0" borderId="88" xfId="0" applyFont="1" applyBorder="1" applyAlignment="1">
      <alignment vertical="center"/>
    </xf>
    <xf numFmtId="0" fontId="44" fillId="0" borderId="259" xfId="0" applyFont="1" applyBorder="1" applyAlignment="1">
      <alignment vertical="center"/>
    </xf>
    <xf numFmtId="0" fontId="44" fillId="0" borderId="257" xfId="0" applyFont="1" applyBorder="1" applyAlignment="1">
      <alignment vertical="center"/>
    </xf>
    <xf numFmtId="0" fontId="56" fillId="0" borderId="0" xfId="0" applyFont="1" applyAlignment="1">
      <alignment horizontal="center" vertical="center"/>
    </xf>
    <xf numFmtId="49" fontId="32" fillId="0" borderId="0" xfId="0" applyNumberFormat="1" applyFont="1" applyAlignment="1">
      <alignment horizontal="center" vertical="center"/>
    </xf>
    <xf numFmtId="0" fontId="18" fillId="19" borderId="252" xfId="0" applyFont="1" applyFill="1" applyBorder="1" applyAlignment="1">
      <alignment horizontal="left" vertical="center"/>
    </xf>
    <xf numFmtId="0" fontId="18" fillId="19" borderId="261" xfId="0" applyFont="1" applyFill="1" applyBorder="1" applyAlignment="1">
      <alignment horizontal="left" vertical="center"/>
    </xf>
    <xf numFmtId="0" fontId="63" fillId="18" borderId="252" xfId="0" applyFont="1" applyFill="1" applyBorder="1" applyAlignment="1">
      <alignment horizontal="left" vertical="center"/>
    </xf>
    <xf numFmtId="0" fontId="63" fillId="18" borderId="261" xfId="0" applyFont="1" applyFill="1" applyBorder="1" applyAlignment="1">
      <alignment horizontal="left" vertical="center"/>
    </xf>
    <xf numFmtId="0" fontId="18" fillId="19" borderId="184" xfId="0" applyFont="1" applyFill="1" applyBorder="1" applyAlignment="1">
      <alignment horizontal="left" vertical="center"/>
    </xf>
    <xf numFmtId="0" fontId="18" fillId="19" borderId="262" xfId="0" applyFont="1" applyFill="1" applyBorder="1" applyAlignment="1">
      <alignment horizontal="left" vertical="center"/>
    </xf>
    <xf numFmtId="0" fontId="32" fillId="0" borderId="0" xfId="0" applyFont="1" applyAlignment="1">
      <alignment horizontal="center" vertical="center"/>
    </xf>
    <xf numFmtId="0" fontId="134" fillId="0" borderId="0" xfId="0" applyFont="1" applyAlignment="1">
      <alignment horizontal="left" vertical="center"/>
    </xf>
    <xf numFmtId="0" fontId="109" fillId="4" borderId="259" xfId="4" quotePrefix="1" applyFont="1" applyFill="1" applyBorder="1" applyAlignment="1">
      <alignment horizontal="center" vertical="center"/>
    </xf>
    <xf numFmtId="0" fontId="109" fillId="4" borderId="257" xfId="4" quotePrefix="1" applyFont="1" applyFill="1" applyBorder="1" applyAlignment="1">
      <alignment horizontal="center" vertical="center"/>
    </xf>
    <xf numFmtId="41" fontId="118" fillId="2" borderId="35" xfId="1" applyFont="1" applyFill="1" applyBorder="1" applyAlignment="1">
      <alignment horizontal="center" vertical="center"/>
    </xf>
    <xf numFmtId="41" fontId="118" fillId="2" borderId="35" xfId="1" quotePrefix="1" applyFont="1" applyFill="1" applyBorder="1" applyAlignment="1">
      <alignment horizontal="center" vertical="center"/>
    </xf>
    <xf numFmtId="41" fontId="118" fillId="2" borderId="23" xfId="1" quotePrefix="1" applyFont="1" applyFill="1" applyBorder="1" applyAlignment="1">
      <alignment horizontal="center" vertical="center"/>
    </xf>
    <xf numFmtId="41" fontId="118" fillId="2" borderId="24" xfId="1" quotePrefix="1" applyFont="1" applyFill="1" applyBorder="1" applyAlignment="1">
      <alignment horizontal="center" vertical="center"/>
    </xf>
    <xf numFmtId="0" fontId="109" fillId="4" borderId="23" xfId="4" quotePrefix="1" applyFont="1" applyFill="1" applyBorder="1" applyAlignment="1">
      <alignment horizontal="center" vertical="center"/>
    </xf>
    <xf numFmtId="0" fontId="109" fillId="4" borderId="24" xfId="4" applyFont="1" applyFill="1" applyBorder="1" applyAlignment="1">
      <alignment horizontal="center" vertical="center"/>
    </xf>
    <xf numFmtId="0" fontId="109" fillId="4" borderId="24" xfId="4" quotePrefix="1" applyFont="1" applyFill="1" applyBorder="1" applyAlignment="1">
      <alignment horizontal="center" vertical="center"/>
    </xf>
    <xf numFmtId="0" fontId="109" fillId="4" borderId="116" xfId="4" quotePrefix="1" applyFont="1" applyFill="1" applyBorder="1" applyAlignment="1">
      <alignment horizontal="center" vertical="center"/>
    </xf>
    <xf numFmtId="0" fontId="109" fillId="4" borderId="117" xfId="4" quotePrefix="1" applyFont="1" applyFill="1" applyBorder="1" applyAlignment="1">
      <alignment horizontal="center" vertical="center"/>
    </xf>
    <xf numFmtId="0" fontId="109" fillId="4" borderId="23" xfId="4" applyFont="1" applyFill="1" applyBorder="1" applyAlignment="1">
      <alignment horizontal="center" vertical="center"/>
    </xf>
    <xf numFmtId="0" fontId="109" fillId="4" borderId="35" xfId="4" applyFont="1" applyFill="1" applyBorder="1" applyAlignment="1">
      <alignment horizontal="center" vertical="center"/>
    </xf>
    <xf numFmtId="0" fontId="109" fillId="4" borderId="35" xfId="4" quotePrefix="1" applyFont="1" applyFill="1" applyBorder="1" applyAlignment="1">
      <alignment horizontal="center" vertical="center"/>
    </xf>
    <xf numFmtId="0" fontId="109" fillId="4" borderId="114" xfId="4" quotePrefix="1" applyFont="1" applyFill="1" applyBorder="1" applyAlignment="1">
      <alignment horizontal="center" vertical="center"/>
    </xf>
    <xf numFmtId="0" fontId="134" fillId="38" borderId="190" xfId="0" applyFont="1" applyFill="1" applyBorder="1" applyAlignment="1">
      <alignment horizontal="left" vertical="center" wrapText="1"/>
    </xf>
    <xf numFmtId="0" fontId="119" fillId="22" borderId="190" xfId="0" applyFont="1" applyFill="1" applyBorder="1" applyAlignment="1">
      <alignment horizontal="left" vertical="center" wrapText="1"/>
    </xf>
    <xf numFmtId="0" fontId="109" fillId="4" borderId="252" xfId="4" quotePrefix="1" applyFont="1" applyFill="1" applyBorder="1" applyAlignment="1">
      <alignment horizontal="center" vertical="center"/>
    </xf>
    <xf numFmtId="0" fontId="109" fillId="4" borderId="258" xfId="4" quotePrefix="1" applyFont="1" applyFill="1" applyBorder="1" applyAlignment="1">
      <alignment horizontal="center" vertical="center"/>
    </xf>
    <xf numFmtId="0" fontId="119" fillId="51" borderId="190" xfId="0" applyFont="1" applyFill="1" applyBorder="1" applyAlignment="1">
      <alignment horizontal="center" vertical="center" wrapText="1"/>
    </xf>
    <xf numFmtId="0" fontId="109" fillId="44" borderId="190" xfId="0" applyFont="1" applyFill="1" applyBorder="1" applyAlignment="1">
      <alignment horizontal="left" vertical="center"/>
    </xf>
    <xf numFmtId="0" fontId="109" fillId="21" borderId="190" xfId="0" applyFont="1" applyFill="1" applyBorder="1" applyAlignment="1">
      <alignment horizontal="left" vertical="center" shrinkToFit="1"/>
    </xf>
    <xf numFmtId="203" fontId="109" fillId="2" borderId="70" xfId="0" applyNumberFormat="1" applyFont="1" applyFill="1" applyBorder="1" applyAlignment="1">
      <alignment horizontal="center" vertical="center"/>
    </xf>
    <xf numFmtId="203" fontId="109" fillId="2" borderId="79" xfId="0" applyNumberFormat="1" applyFont="1" applyFill="1" applyBorder="1" applyAlignment="1">
      <alignment horizontal="center" vertical="center"/>
    </xf>
    <xf numFmtId="204" fontId="179" fillId="4" borderId="70" xfId="5" applyNumberFormat="1" applyFont="1" applyFill="1" applyBorder="1" applyAlignment="1">
      <alignment horizontal="right" vertical="center"/>
    </xf>
    <xf numFmtId="204" fontId="179" fillId="4" borderId="79" xfId="5" applyNumberFormat="1" applyFont="1" applyFill="1" applyBorder="1" applyAlignment="1">
      <alignment horizontal="right" vertical="center"/>
    </xf>
    <xf numFmtId="0" fontId="109" fillId="4" borderId="185" xfId="4" quotePrefix="1" applyFont="1" applyFill="1" applyBorder="1" applyAlignment="1">
      <alignment horizontal="center" vertical="center"/>
    </xf>
    <xf numFmtId="0" fontId="109" fillId="4" borderId="115" xfId="4" quotePrefix="1" applyFont="1" applyFill="1" applyBorder="1" applyAlignment="1">
      <alignment horizontal="center" vertical="center"/>
    </xf>
    <xf numFmtId="0" fontId="119" fillId="51" borderId="197" xfId="0" applyFont="1" applyFill="1" applyBorder="1" applyAlignment="1">
      <alignment horizontal="center" vertical="center"/>
    </xf>
    <xf numFmtId="0" fontId="119" fillId="51" borderId="106" xfId="0" applyFont="1" applyFill="1" applyBorder="1" applyAlignment="1">
      <alignment horizontal="center" vertical="center"/>
    </xf>
    <xf numFmtId="0" fontId="109" fillId="4" borderId="130" xfId="4" quotePrefix="1" applyFont="1" applyFill="1" applyBorder="1" applyAlignment="1">
      <alignment horizontal="center" vertical="center"/>
    </xf>
    <xf numFmtId="0" fontId="109" fillId="4" borderId="186" xfId="4" quotePrefix="1" applyFont="1" applyFill="1" applyBorder="1" applyAlignment="1">
      <alignment horizontal="center" vertical="center"/>
    </xf>
    <xf numFmtId="0" fontId="182" fillId="51" borderId="190" xfId="4" applyFont="1" applyFill="1" applyBorder="1" applyAlignment="1">
      <alignment horizontal="center" vertical="center" wrapText="1"/>
    </xf>
    <xf numFmtId="189" fontId="182" fillId="51" borderId="190" xfId="4" applyNumberFormat="1" applyFont="1" applyFill="1" applyBorder="1" applyAlignment="1">
      <alignment horizontal="center" vertical="center" wrapText="1"/>
    </xf>
    <xf numFmtId="0" fontId="182" fillId="51" borderId="70" xfId="4" applyFont="1" applyFill="1" applyBorder="1" applyAlignment="1">
      <alignment horizontal="center" vertical="center"/>
    </xf>
    <xf numFmtId="0" fontId="182" fillId="51" borderId="79" xfId="4" applyFont="1" applyFill="1" applyBorder="1" applyAlignment="1">
      <alignment horizontal="center" vertical="center"/>
    </xf>
    <xf numFmtId="177" fontId="179" fillId="4" borderId="70" xfId="23" applyNumberFormat="1" applyFont="1" applyFill="1" applyBorder="1" applyAlignment="1">
      <alignment horizontal="center" vertical="center"/>
    </xf>
    <xf numFmtId="177" fontId="179" fillId="4" borderId="79" xfId="23" applyNumberFormat="1" applyFont="1" applyFill="1" applyBorder="1" applyAlignment="1">
      <alignment horizontal="center" vertical="center"/>
    </xf>
    <xf numFmtId="209" fontId="109" fillId="2" borderId="70" xfId="0" applyNumberFormat="1" applyFont="1" applyFill="1" applyBorder="1" applyAlignment="1">
      <alignment horizontal="center" vertical="center"/>
    </xf>
    <xf numFmtId="209" fontId="109" fillId="2" borderId="79" xfId="0" applyNumberFormat="1" applyFont="1" applyFill="1" applyBorder="1" applyAlignment="1">
      <alignment horizontal="center" vertical="center"/>
    </xf>
    <xf numFmtId="204" fontId="179" fillId="4" borderId="70" xfId="5" applyNumberFormat="1" applyFont="1" applyFill="1" applyBorder="1" applyAlignment="1">
      <alignment horizontal="center" vertical="center"/>
    </xf>
    <xf numFmtId="204" fontId="179" fillId="4" borderId="79" xfId="5" applyNumberFormat="1" applyFont="1" applyFill="1" applyBorder="1" applyAlignment="1">
      <alignment horizontal="center" vertical="center"/>
    </xf>
    <xf numFmtId="204" fontId="112" fillId="4" borderId="70" xfId="5" applyNumberFormat="1" applyFont="1" applyFill="1" applyBorder="1" applyAlignment="1">
      <alignment horizontal="right" vertical="center"/>
    </xf>
    <xf numFmtId="204" fontId="112" fillId="4" borderId="79" xfId="5" applyNumberFormat="1" applyFont="1" applyFill="1" applyBorder="1" applyAlignment="1">
      <alignment horizontal="right" vertical="center"/>
    </xf>
    <xf numFmtId="0" fontId="101" fillId="0" borderId="0" xfId="4" applyFont="1" applyBorder="1" applyAlignment="1">
      <alignment horizontal="left" vertical="center"/>
    </xf>
    <xf numFmtId="0" fontId="94" fillId="27" borderId="53" xfId="0" applyFont="1" applyFill="1" applyBorder="1" applyAlignment="1">
      <alignment horizontal="center" vertical="center"/>
    </xf>
    <xf numFmtId="0" fontId="94" fillId="27" borderId="54" xfId="0" applyFont="1" applyFill="1" applyBorder="1" applyAlignment="1">
      <alignment horizontal="center" vertical="center"/>
    </xf>
    <xf numFmtId="0" fontId="94" fillId="27" borderId="55" xfId="0" applyFont="1" applyFill="1" applyBorder="1" applyAlignment="1">
      <alignment horizontal="center" vertical="center"/>
    </xf>
    <xf numFmtId="0" fontId="98" fillId="5" borderId="141" xfId="0" applyFont="1" applyFill="1" applyBorder="1" applyAlignment="1">
      <alignment horizontal="left" vertical="center" shrinkToFit="1"/>
    </xf>
    <xf numFmtId="0" fontId="98" fillId="5" borderId="142" xfId="0" applyFont="1" applyFill="1" applyBorder="1" applyAlignment="1">
      <alignment horizontal="left" vertical="center" shrinkToFit="1"/>
    </xf>
    <xf numFmtId="0" fontId="96" fillId="4" borderId="141" xfId="0" applyFont="1" applyFill="1" applyBorder="1" applyAlignment="1">
      <alignment vertical="center" shrinkToFit="1"/>
    </xf>
    <xf numFmtId="0" fontId="96" fillId="4" borderId="142" xfId="0" applyFont="1" applyFill="1" applyBorder="1" applyAlignment="1">
      <alignment vertical="center" shrinkToFit="1"/>
    </xf>
    <xf numFmtId="0" fontId="96" fillId="4" borderId="141" xfId="0" applyFont="1" applyFill="1" applyBorder="1" applyAlignment="1">
      <alignment horizontal="left" vertical="center" shrinkToFit="1"/>
    </xf>
    <xf numFmtId="0" fontId="96" fillId="4" borderId="142" xfId="0" applyFont="1" applyFill="1" applyBorder="1" applyAlignment="1">
      <alignment horizontal="left" vertical="center" shrinkToFit="1"/>
    </xf>
    <xf numFmtId="0" fontId="98" fillId="5" borderId="143" xfId="0" applyFont="1" applyFill="1" applyBorder="1" applyAlignment="1">
      <alignment vertical="center" wrapText="1"/>
    </xf>
    <xf numFmtId="0" fontId="98" fillId="5" borderId="144" xfId="0" applyFont="1" applyFill="1" applyBorder="1" applyAlignment="1">
      <alignment vertical="center" wrapText="1"/>
    </xf>
    <xf numFmtId="0" fontId="109" fillId="2" borderId="197" xfId="4" applyFont="1" applyFill="1" applyBorder="1" applyAlignment="1">
      <alignment horizontal="center" vertical="center"/>
    </xf>
    <xf numFmtId="0" fontId="109" fillId="2" borderId="101" xfId="4" applyFont="1" applyFill="1" applyBorder="1" applyAlignment="1">
      <alignment horizontal="center" vertical="center"/>
    </xf>
    <xf numFmtId="0" fontId="109" fillId="2" borderId="106" xfId="4" applyFont="1" applyFill="1" applyBorder="1" applyAlignment="1">
      <alignment horizontal="center" vertical="center"/>
    </xf>
    <xf numFmtId="0" fontId="125" fillId="51" borderId="51" xfId="4" applyFont="1" applyFill="1" applyBorder="1" applyAlignment="1">
      <alignment horizontal="center" vertical="center" wrapText="1"/>
    </xf>
    <xf numFmtId="0" fontId="125" fillId="51" borderId="191" xfId="4" applyFont="1" applyFill="1" applyBorder="1" applyAlignment="1">
      <alignment horizontal="center" vertical="center" wrapText="1"/>
    </xf>
    <xf numFmtId="0" fontId="125" fillId="51" borderId="52" xfId="4" applyFont="1" applyFill="1" applyBorder="1" applyAlignment="1">
      <alignment horizontal="center" vertical="center" wrapText="1"/>
    </xf>
    <xf numFmtId="0" fontId="125" fillId="51" borderId="192" xfId="4" applyFont="1" applyFill="1" applyBorder="1" applyAlignment="1">
      <alignment horizontal="center" vertical="center" wrapText="1"/>
    </xf>
    <xf numFmtId="0" fontId="125" fillId="51" borderId="0" xfId="4" applyFont="1" applyFill="1" applyBorder="1" applyAlignment="1">
      <alignment horizontal="center" vertical="center" wrapText="1"/>
    </xf>
    <xf numFmtId="0" fontId="125" fillId="51" borderId="193" xfId="4" applyFont="1" applyFill="1" applyBorder="1" applyAlignment="1">
      <alignment horizontal="center" vertical="center" wrapText="1"/>
    </xf>
    <xf numFmtId="0" fontId="125" fillId="51" borderId="194" xfId="4" applyFont="1" applyFill="1" applyBorder="1" applyAlignment="1">
      <alignment horizontal="center" vertical="center" wrapText="1"/>
    </xf>
    <xf numFmtId="0" fontId="125" fillId="51" borderId="195" xfId="4" applyFont="1" applyFill="1" applyBorder="1" applyAlignment="1">
      <alignment horizontal="center" vertical="center" wrapText="1"/>
    </xf>
    <xf numFmtId="0" fontId="125" fillId="51" borderId="196" xfId="4" applyFont="1" applyFill="1" applyBorder="1" applyAlignment="1">
      <alignment horizontal="center" vertical="center" wrapText="1"/>
    </xf>
    <xf numFmtId="231" fontId="125" fillId="51" borderId="197" xfId="4" applyNumberFormat="1" applyFont="1" applyFill="1" applyBorder="1" applyAlignment="1">
      <alignment horizontal="center" vertical="center" wrapText="1"/>
    </xf>
    <xf numFmtId="231" fontId="125" fillId="51" borderId="101" xfId="4" applyNumberFormat="1" applyFont="1" applyFill="1" applyBorder="1" applyAlignment="1">
      <alignment horizontal="center" vertical="center" wrapText="1"/>
    </xf>
    <xf numFmtId="231" fontId="125" fillId="51" borderId="106" xfId="4" applyNumberFormat="1" applyFont="1" applyFill="1" applyBorder="1" applyAlignment="1">
      <alignment horizontal="center" vertical="center" wrapText="1"/>
    </xf>
    <xf numFmtId="0" fontId="116" fillId="2" borderId="199" xfId="4" applyFont="1" applyFill="1" applyBorder="1" applyAlignment="1">
      <alignment horizontal="center" vertical="center"/>
    </xf>
    <xf numFmtId="0" fontId="116" fillId="2" borderId="198" xfId="4" applyFont="1" applyFill="1" applyBorder="1" applyAlignment="1">
      <alignment horizontal="center" vertical="center"/>
    </xf>
    <xf numFmtId="0" fontId="114" fillId="51" borderId="199" xfId="4" applyFont="1" applyFill="1" applyBorder="1" applyAlignment="1">
      <alignment horizontal="center" vertical="center"/>
    </xf>
    <xf numFmtId="0" fontId="114" fillId="51" borderId="200" xfId="4" applyFont="1" applyFill="1" applyBorder="1" applyAlignment="1">
      <alignment horizontal="center" vertical="center"/>
    </xf>
    <xf numFmtId="0" fontId="114" fillId="51" borderId="198" xfId="4" applyFont="1" applyFill="1" applyBorder="1" applyAlignment="1">
      <alignment horizontal="center" vertical="center"/>
    </xf>
    <xf numFmtId="0" fontId="118" fillId="2" borderId="197" xfId="4" applyFont="1" applyFill="1" applyBorder="1" applyAlignment="1">
      <alignment horizontal="center" vertical="center"/>
    </xf>
    <xf numFmtId="0" fontId="118" fillId="2" borderId="106" xfId="4" applyFont="1" applyFill="1" applyBorder="1" applyAlignment="1">
      <alignment horizontal="center" vertical="center"/>
    </xf>
    <xf numFmtId="0" fontId="118" fillId="2" borderId="199" xfId="4" applyFont="1" applyFill="1" applyBorder="1" applyAlignment="1">
      <alignment horizontal="center" vertical="center"/>
    </xf>
    <xf numFmtId="0" fontId="118" fillId="2" borderId="198" xfId="4" applyFont="1" applyFill="1" applyBorder="1" applyAlignment="1">
      <alignment horizontal="center" vertical="center"/>
    </xf>
    <xf numFmtId="0" fontId="109" fillId="0" borderId="0" xfId="0" applyFont="1" applyBorder="1"/>
    <xf numFmtId="0" fontId="118" fillId="27" borderId="276" xfId="4" applyFont="1" applyFill="1" applyBorder="1" applyAlignment="1">
      <alignment horizontal="center" vertical="center"/>
    </xf>
    <xf numFmtId="0" fontId="118" fillId="0" borderId="0" xfId="4" applyFont="1" applyFill="1" applyBorder="1" applyAlignment="1">
      <alignment horizontal="center" vertical="center"/>
    </xf>
    <xf numFmtId="0" fontId="116" fillId="27" borderId="269" xfId="4" applyFont="1" applyFill="1" applyBorder="1" applyAlignment="1">
      <alignment horizontal="center" vertical="center"/>
    </xf>
    <xf numFmtId="0" fontId="116" fillId="27" borderId="270" xfId="4" applyFont="1" applyFill="1" applyBorder="1" applyAlignment="1">
      <alignment horizontal="center" vertical="center"/>
    </xf>
    <xf numFmtId="0" fontId="116" fillId="27" borderId="271" xfId="4" applyFont="1" applyFill="1" applyBorder="1" applyAlignment="1">
      <alignment horizontal="center" vertical="center"/>
    </xf>
    <xf numFmtId="0" fontId="153" fillId="2" borderId="0" xfId="4" applyFont="1" applyFill="1" applyBorder="1" applyAlignment="1">
      <alignment horizontal="center" vertical="center"/>
    </xf>
    <xf numFmtId="0" fontId="116" fillId="27" borderId="0" xfId="4" applyFont="1" applyFill="1" applyBorder="1" applyAlignment="1">
      <alignment horizontal="center" vertical="center"/>
    </xf>
    <xf numFmtId="0" fontId="153" fillId="0" borderId="0" xfId="4" applyFont="1" applyBorder="1" applyAlignment="1">
      <alignment horizontal="center" vertical="center"/>
    </xf>
    <xf numFmtId="0" fontId="153" fillId="0" borderId="272" xfId="4" applyFont="1" applyBorder="1" applyAlignment="1">
      <alignment horizontal="center" vertical="center"/>
    </xf>
    <xf numFmtId="0" fontId="153" fillId="0" borderId="59" xfId="4" applyFont="1" applyBorder="1" applyAlignment="1">
      <alignment horizontal="center" vertical="center"/>
    </xf>
    <xf numFmtId="0" fontId="153" fillId="0" borderId="273" xfId="4" applyFont="1" applyBorder="1" applyAlignment="1">
      <alignment horizontal="center" vertical="center"/>
    </xf>
    <xf numFmtId="0" fontId="153" fillId="0" borderId="268" xfId="4" applyFont="1" applyBorder="1" applyAlignment="1">
      <alignment horizontal="center" vertical="center"/>
    </xf>
    <xf numFmtId="0" fontId="153" fillId="0" borderId="267" xfId="4" applyFont="1" applyBorder="1" applyAlignment="1">
      <alignment horizontal="center" vertical="center"/>
    </xf>
    <xf numFmtId="0" fontId="114" fillId="51" borderId="199" xfId="0" applyFont="1" applyFill="1" applyBorder="1" applyAlignment="1">
      <alignment horizontal="center" vertical="center"/>
    </xf>
    <xf numFmtId="0" fontId="114" fillId="51" borderId="200" xfId="0" applyFont="1" applyFill="1" applyBorder="1" applyAlignment="1">
      <alignment horizontal="center" vertical="center"/>
    </xf>
    <xf numFmtId="0" fontId="114" fillId="51" borderId="198" xfId="0" applyFont="1" applyFill="1" applyBorder="1" applyAlignment="1">
      <alignment horizontal="center" vertical="center"/>
    </xf>
    <xf numFmtId="0" fontId="158" fillId="51" borderId="190" xfId="3" applyFont="1" applyFill="1" applyBorder="1" applyAlignment="1">
      <alignment horizontal="center" vertical="center"/>
    </xf>
    <xf numFmtId="207" fontId="118" fillId="51" borderId="190" xfId="5" quotePrefix="1" applyNumberFormat="1" applyFont="1" applyFill="1" applyBorder="1" applyAlignment="1">
      <alignment horizontal="center" vertical="center" shrinkToFit="1"/>
    </xf>
    <xf numFmtId="0" fontId="119" fillId="46" borderId="190" xfId="35" applyFont="1" applyFill="1" applyBorder="1" applyAlignment="1">
      <alignment horizontal="center" vertical="center" wrapText="1"/>
    </xf>
    <xf numFmtId="207" fontId="153" fillId="2" borderId="190" xfId="5" quotePrefix="1" applyNumberFormat="1" applyFont="1" applyFill="1" applyBorder="1" applyAlignment="1">
      <alignment horizontal="center" vertical="center" shrinkToFit="1"/>
    </xf>
    <xf numFmtId="207" fontId="153" fillId="7" borderId="190" xfId="5" quotePrefix="1" applyNumberFormat="1" applyFont="1" applyFill="1" applyBorder="1" applyAlignment="1">
      <alignment horizontal="center" vertical="center" shrinkToFit="1"/>
    </xf>
    <xf numFmtId="0" fontId="119" fillId="45" borderId="190" xfId="35" applyFont="1" applyFill="1" applyBorder="1" applyAlignment="1">
      <alignment horizontal="center" vertical="center" wrapText="1"/>
    </xf>
    <xf numFmtId="207" fontId="118" fillId="45" borderId="190" xfId="5" quotePrefix="1" applyNumberFormat="1" applyFont="1" applyFill="1" applyBorder="1" applyAlignment="1">
      <alignment horizontal="center" vertical="center" shrinkToFit="1"/>
    </xf>
    <xf numFmtId="207" fontId="153" fillId="15" borderId="190" xfId="5" quotePrefix="1" applyNumberFormat="1" applyFont="1" applyFill="1" applyBorder="1" applyAlignment="1">
      <alignment horizontal="center" vertical="center" shrinkToFit="1"/>
    </xf>
    <xf numFmtId="0" fontId="134" fillId="45" borderId="190" xfId="35" applyFont="1" applyFill="1" applyBorder="1" applyAlignment="1">
      <alignment horizontal="center" vertical="center" wrapText="1"/>
    </xf>
    <xf numFmtId="207" fontId="154" fillId="2" borderId="190" xfId="5" quotePrefix="1" applyNumberFormat="1" applyFont="1" applyFill="1" applyBorder="1" applyAlignment="1">
      <alignment horizontal="center" vertical="center" shrinkToFit="1"/>
    </xf>
    <xf numFmtId="0" fontId="145" fillId="2" borderId="0" xfId="3" applyFont="1" applyFill="1" applyBorder="1" applyAlignment="1">
      <alignment horizontal="center" vertical="center"/>
    </xf>
    <xf numFmtId="41" fontId="118" fillId="51" borderId="190" xfId="34" applyFont="1" applyFill="1" applyBorder="1" applyAlignment="1">
      <alignment horizontal="center" vertical="center" shrinkToFit="1"/>
    </xf>
    <xf numFmtId="49" fontId="188" fillId="2" borderId="0" xfId="34" quotePrefix="1" applyNumberFormat="1" applyFont="1" applyFill="1" applyBorder="1" applyAlignment="1">
      <alignment horizontal="center" vertical="center" shrinkToFit="1"/>
    </xf>
    <xf numFmtId="181" fontId="118" fillId="46" borderId="190" xfId="34" applyNumberFormat="1" applyFont="1" applyFill="1" applyBorder="1" applyAlignment="1">
      <alignment horizontal="center" vertical="center" shrinkToFit="1"/>
    </xf>
    <xf numFmtId="207" fontId="118" fillId="7" borderId="190" xfId="5" quotePrefix="1" applyNumberFormat="1" applyFont="1" applyFill="1" applyBorder="1" applyAlignment="1">
      <alignment horizontal="center" vertical="center" shrinkToFit="1"/>
    </xf>
    <xf numFmtId="41" fontId="118" fillId="46" borderId="190" xfId="34" applyFont="1" applyFill="1" applyBorder="1" applyAlignment="1" applyProtection="1">
      <alignment horizontal="center" vertical="center" shrinkToFit="1"/>
    </xf>
    <xf numFmtId="0" fontId="153" fillId="2" borderId="190" xfId="1" applyNumberFormat="1" applyFont="1" applyFill="1" applyBorder="1" applyAlignment="1" applyProtection="1">
      <alignment horizontal="center" vertical="center" shrinkToFit="1"/>
      <protection locked="0"/>
    </xf>
    <xf numFmtId="207" fontId="153" fillId="37" borderId="190" xfId="5" applyNumberFormat="1" applyFont="1" applyFill="1" applyBorder="1" applyAlignment="1" applyProtection="1">
      <alignment horizontal="center" vertical="center" shrinkToFit="1"/>
      <protection locked="0"/>
    </xf>
    <xf numFmtId="0" fontId="145" fillId="2" borderId="0" xfId="3" applyFont="1" applyFill="1" applyBorder="1" applyAlignment="1">
      <alignment horizontal="left" vertical="center"/>
    </xf>
    <xf numFmtId="41" fontId="165" fillId="2" borderId="27" xfId="3" applyNumberFormat="1" applyFont="1" applyFill="1" applyBorder="1" applyAlignment="1">
      <alignment horizontal="center" vertical="center"/>
    </xf>
    <xf numFmtId="41" fontId="165" fillId="2" borderId="29" xfId="3" applyNumberFormat="1" applyFont="1" applyFill="1" applyBorder="1" applyAlignment="1">
      <alignment horizontal="center" vertical="center"/>
    </xf>
    <xf numFmtId="0" fontId="165" fillId="2" borderId="63" xfId="3" applyFont="1" applyFill="1" applyBorder="1" applyAlignment="1">
      <alignment horizontal="center" vertical="center"/>
    </xf>
    <xf numFmtId="0" fontId="165" fillId="2" borderId="28" xfId="3" applyFont="1" applyFill="1" applyBorder="1" applyAlignment="1">
      <alignment horizontal="center" vertical="center"/>
    </xf>
    <xf numFmtId="0" fontId="165" fillId="2" borderId="253" xfId="3" applyFont="1" applyFill="1" applyBorder="1" applyAlignment="1">
      <alignment horizontal="center" vertical="center"/>
    </xf>
    <xf numFmtId="0" fontId="165" fillId="2" borderId="30" xfId="3" applyFont="1" applyFill="1" applyBorder="1" applyAlignment="1">
      <alignment horizontal="center" vertical="center"/>
    </xf>
    <xf numFmtId="41" fontId="165" fillId="2" borderId="15" xfId="3" applyNumberFormat="1" applyFont="1" applyFill="1" applyBorder="1" applyAlignment="1">
      <alignment horizontal="center" vertical="center"/>
    </xf>
    <xf numFmtId="41" fontId="165" fillId="2" borderId="17" xfId="3" applyNumberFormat="1" applyFont="1" applyFill="1" applyBorder="1" applyAlignment="1">
      <alignment horizontal="center" vertical="center"/>
    </xf>
    <xf numFmtId="0" fontId="165" fillId="2" borderId="16" xfId="3" applyFont="1" applyFill="1" applyBorder="1" applyAlignment="1">
      <alignment horizontal="center" vertical="center"/>
    </xf>
    <xf numFmtId="0" fontId="165" fillId="2" borderId="73" xfId="3" applyFont="1" applyFill="1" applyBorder="1" applyAlignment="1">
      <alignment horizontal="center" vertical="center"/>
    </xf>
    <xf numFmtId="0" fontId="165" fillId="2" borderId="254" xfId="3" applyFont="1" applyFill="1" applyBorder="1" applyAlignment="1">
      <alignment horizontal="center" vertical="center"/>
    </xf>
    <xf numFmtId="0" fontId="165" fillId="2" borderId="65" xfId="3" applyFont="1" applyFill="1" applyBorder="1" applyAlignment="1">
      <alignment horizontal="center" vertical="center"/>
    </xf>
    <xf numFmtId="0" fontId="165" fillId="2" borderId="19" xfId="3" applyFont="1" applyFill="1" applyBorder="1" applyAlignment="1">
      <alignment horizontal="center" vertical="center"/>
    </xf>
    <xf numFmtId="0" fontId="145" fillId="0" borderId="0" xfId="3" applyFont="1" applyFill="1" applyBorder="1" applyAlignment="1">
      <alignment horizontal="left" vertical="center"/>
    </xf>
    <xf numFmtId="41" fontId="166" fillId="2" borderId="190" xfId="3" applyNumberFormat="1" applyFont="1" applyFill="1" applyBorder="1" applyAlignment="1">
      <alignment horizontal="center" vertical="center"/>
    </xf>
    <xf numFmtId="41" fontId="150" fillId="2" borderId="190" xfId="3" applyNumberFormat="1" applyFont="1" applyFill="1" applyBorder="1" applyAlignment="1">
      <alignment horizontal="center" vertical="center"/>
    </xf>
    <xf numFmtId="0" fontId="150" fillId="2" borderId="190" xfId="3" applyFont="1" applyFill="1" applyBorder="1" applyAlignment="1">
      <alignment horizontal="center" vertical="center"/>
    </xf>
    <xf numFmtId="41" fontId="134" fillId="2" borderId="190" xfId="3" applyNumberFormat="1" applyFont="1" applyFill="1" applyBorder="1" applyAlignment="1">
      <alignment horizontal="center" vertical="center"/>
    </xf>
    <xf numFmtId="0" fontId="134" fillId="2" borderId="190" xfId="3" applyFont="1" applyFill="1" applyBorder="1" applyAlignment="1">
      <alignment horizontal="center" vertical="center"/>
    </xf>
    <xf numFmtId="216" fontId="166" fillId="0" borderId="190" xfId="0" applyNumberFormat="1" applyFont="1" applyFill="1" applyBorder="1" applyAlignment="1" applyProtection="1">
      <alignment vertical="center"/>
    </xf>
    <xf numFmtId="0" fontId="150" fillId="2" borderId="190" xfId="3" applyNumberFormat="1" applyFont="1" applyFill="1" applyBorder="1" applyAlignment="1">
      <alignment horizontal="center" vertical="center"/>
    </xf>
    <xf numFmtId="204" fontId="166" fillId="0" borderId="190" xfId="0" applyNumberFormat="1" applyFont="1" applyFill="1" applyBorder="1" applyAlignment="1" applyProtection="1">
      <alignment vertical="center"/>
    </xf>
    <xf numFmtId="0" fontId="166" fillId="2" borderId="190" xfId="3" applyFont="1" applyFill="1" applyBorder="1" applyAlignment="1">
      <alignment horizontal="center" vertical="center"/>
    </xf>
    <xf numFmtId="0" fontId="150" fillId="2" borderId="190" xfId="3" applyFont="1" applyFill="1" applyBorder="1" applyAlignment="1">
      <alignment horizontal="center" vertical="center" wrapText="1"/>
    </xf>
    <xf numFmtId="216" fontId="134" fillId="0" borderId="190" xfId="0" applyNumberFormat="1" applyFont="1" applyFill="1" applyBorder="1" applyAlignment="1" applyProtection="1">
      <alignment vertical="center"/>
    </xf>
    <xf numFmtId="203" fontId="153" fillId="2" borderId="190" xfId="0" applyNumberFormat="1" applyFont="1" applyFill="1" applyBorder="1" applyAlignment="1" applyProtection="1">
      <alignment horizontal="center" vertical="center"/>
    </xf>
    <xf numFmtId="0" fontId="146" fillId="2" borderId="0" xfId="3" applyFont="1" applyFill="1" applyBorder="1">
      <alignment vertical="center"/>
    </xf>
    <xf numFmtId="0" fontId="158" fillId="2" borderId="190" xfId="3" applyFont="1" applyFill="1" applyBorder="1" applyAlignment="1">
      <alignment horizontal="center" vertical="center"/>
    </xf>
    <xf numFmtId="206" fontId="158" fillId="51" borderId="190" xfId="3" applyNumberFormat="1" applyFont="1" applyFill="1" applyBorder="1" applyAlignment="1">
      <alignment horizontal="center" vertical="center"/>
    </xf>
    <xf numFmtId="204" fontId="134" fillId="0" borderId="190" xfId="0" applyNumberFormat="1" applyFont="1" applyFill="1" applyBorder="1" applyAlignment="1" applyProtection="1">
      <alignment horizontal="center" vertical="center"/>
    </xf>
    <xf numFmtId="0" fontId="194" fillId="0" borderId="167" xfId="3" quotePrefix="1" applyFont="1" applyFill="1" applyBorder="1" applyAlignment="1">
      <alignment horizontal="left" vertical="center" wrapText="1"/>
    </xf>
    <xf numFmtId="0" fontId="194" fillId="0" borderId="168" xfId="3" quotePrefix="1" applyFont="1" applyFill="1" applyBorder="1" applyAlignment="1">
      <alignment horizontal="left" vertical="center" wrapText="1"/>
    </xf>
    <xf numFmtId="0" fontId="194" fillId="0" borderId="161" xfId="3" quotePrefix="1" applyFont="1" applyFill="1" applyBorder="1" applyAlignment="1">
      <alignment horizontal="left" vertical="center" wrapText="1"/>
    </xf>
    <xf numFmtId="0" fontId="194" fillId="0" borderId="140" xfId="3" quotePrefix="1" applyFont="1" applyFill="1" applyBorder="1" applyAlignment="1">
      <alignment horizontal="left" vertical="center" wrapText="1"/>
    </xf>
    <xf numFmtId="0" fontId="194" fillId="0" borderId="0" xfId="3" quotePrefix="1" applyFont="1" applyFill="1" applyBorder="1" applyAlignment="1">
      <alignment horizontal="left" vertical="center" wrapText="1"/>
    </xf>
    <xf numFmtId="0" fontId="194" fillId="0" borderId="88" xfId="3" quotePrefix="1" applyFont="1" applyFill="1" applyBorder="1" applyAlignment="1">
      <alignment horizontal="left" vertical="center" wrapText="1"/>
    </xf>
    <xf numFmtId="0" fontId="194" fillId="0" borderId="93" xfId="3" quotePrefix="1" applyFont="1" applyFill="1" applyBorder="1" applyAlignment="1">
      <alignment horizontal="left" vertical="center" wrapText="1"/>
    </xf>
    <xf numFmtId="0" fontId="194" fillId="0" borderId="92" xfId="3" quotePrefix="1" applyFont="1" applyFill="1" applyBorder="1" applyAlignment="1">
      <alignment horizontal="left" vertical="center" wrapText="1"/>
    </xf>
    <xf numFmtId="0" fontId="194" fillId="0" borderId="123" xfId="3" quotePrefix="1" applyFont="1" applyFill="1" applyBorder="1" applyAlignment="1">
      <alignment horizontal="left" vertical="center" wrapText="1"/>
    </xf>
    <xf numFmtId="0" fontId="190" fillId="0" borderId="0" xfId="3" applyFont="1" applyAlignment="1">
      <alignment horizontal="center" vertical="center" wrapText="1"/>
    </xf>
    <xf numFmtId="0" fontId="149" fillId="0" borderId="0" xfId="3" applyFont="1" applyAlignment="1"/>
    <xf numFmtId="0" fontId="194" fillId="0" borderId="0" xfId="3" applyFont="1" applyBorder="1" applyAlignment="1">
      <alignment horizontal="right"/>
    </xf>
    <xf numFmtId="0" fontId="149" fillId="0" borderId="92" xfId="3" applyFont="1" applyBorder="1" applyAlignment="1"/>
    <xf numFmtId="0" fontId="194" fillId="0" borderId="92" xfId="3" applyFont="1" applyBorder="1" applyAlignment="1">
      <alignment horizontal="right" vertical="center"/>
    </xf>
    <xf numFmtId="0" fontId="194" fillId="0" borderId="0" xfId="3" applyFont="1" applyBorder="1" applyAlignment="1">
      <alignment horizontal="left"/>
    </xf>
    <xf numFmtId="0" fontId="196" fillId="0" borderId="167" xfId="3" quotePrefix="1" applyFont="1" applyFill="1" applyBorder="1" applyAlignment="1">
      <alignment horizontal="left" vertical="center" wrapText="1"/>
    </xf>
    <xf numFmtId="0" fontId="196" fillId="0" borderId="168" xfId="3" quotePrefix="1" applyFont="1" applyFill="1" applyBorder="1" applyAlignment="1">
      <alignment horizontal="left" vertical="center" wrapText="1"/>
    </xf>
    <xf numFmtId="0" fontId="196" fillId="0" borderId="169" xfId="3" quotePrefix="1" applyFont="1" applyFill="1" applyBorder="1" applyAlignment="1">
      <alignment horizontal="left" vertical="center" wrapText="1"/>
    </xf>
    <xf numFmtId="0" fontId="196" fillId="0" borderId="140" xfId="3" quotePrefix="1" applyFont="1" applyFill="1" applyBorder="1" applyAlignment="1">
      <alignment horizontal="left" vertical="center" wrapText="1"/>
    </xf>
    <xf numFmtId="0" fontId="196" fillId="0" borderId="0" xfId="3" quotePrefix="1" applyFont="1" applyFill="1" applyBorder="1" applyAlignment="1">
      <alignment horizontal="left" vertical="center" wrapText="1"/>
    </xf>
    <xf numFmtId="0" fontId="196" fillId="0" borderId="69" xfId="3" quotePrefix="1" applyFont="1" applyFill="1" applyBorder="1" applyAlignment="1">
      <alignment horizontal="left" vertical="center" wrapText="1"/>
    </xf>
    <xf numFmtId="0" fontId="196" fillId="0" borderId="93" xfId="3" quotePrefix="1" applyFont="1" applyFill="1" applyBorder="1" applyAlignment="1">
      <alignment horizontal="left" vertical="center" wrapText="1"/>
    </xf>
    <xf numFmtId="0" fontId="196" fillId="0" borderId="92" xfId="3" quotePrefix="1" applyFont="1" applyFill="1" applyBorder="1" applyAlignment="1">
      <alignment horizontal="left" vertical="center" wrapText="1"/>
    </xf>
    <xf numFmtId="0" fontId="196" fillId="0" borderId="170" xfId="3" quotePrefix="1" applyFont="1" applyFill="1" applyBorder="1" applyAlignment="1">
      <alignment horizontal="left" vertical="center" wrapText="1"/>
    </xf>
    <xf numFmtId="0" fontId="194" fillId="0" borderId="92" xfId="3" applyFont="1" applyBorder="1" applyAlignment="1">
      <alignment horizontal="right"/>
    </xf>
    <xf numFmtId="0" fontId="194" fillId="0" borderId="169" xfId="3" quotePrefix="1" applyFont="1" applyFill="1" applyBorder="1" applyAlignment="1">
      <alignment horizontal="left" vertical="center" wrapText="1"/>
    </xf>
    <xf numFmtId="0" fontId="194" fillId="0" borderId="69" xfId="3" quotePrefix="1" applyFont="1" applyFill="1" applyBorder="1" applyAlignment="1">
      <alignment horizontal="left" vertical="center" wrapText="1"/>
    </xf>
    <xf numFmtId="0" fontId="194" fillId="0" borderId="170" xfId="3" quotePrefix="1" applyFont="1" applyFill="1" applyBorder="1" applyAlignment="1">
      <alignment horizontal="left" vertical="center" wrapText="1"/>
    </xf>
    <xf numFmtId="0" fontId="149" fillId="0" borderId="3" xfId="3" applyFont="1" applyBorder="1" applyAlignment="1">
      <alignment horizontal="center" vertical="center"/>
    </xf>
    <xf numFmtId="0" fontId="149" fillId="0" borderId="158" xfId="3" applyFont="1" applyBorder="1" applyAlignment="1">
      <alignment horizontal="center" vertical="center"/>
    </xf>
    <xf numFmtId="0" fontId="149" fillId="0" borderId="5" xfId="3" applyFont="1" applyBorder="1" applyAlignment="1">
      <alignment horizontal="center" vertical="center"/>
    </xf>
    <xf numFmtId="0" fontId="149" fillId="0" borderId="6" xfId="3" applyFont="1" applyBorder="1" applyAlignment="1">
      <alignment horizontal="center" vertical="center"/>
    </xf>
    <xf numFmtId="0" fontId="149" fillId="0" borderId="7" xfId="3" applyFont="1" applyBorder="1" applyAlignment="1">
      <alignment horizontal="center" vertical="center"/>
    </xf>
    <xf numFmtId="0" fontId="149" fillId="0" borderId="150" xfId="3" applyFont="1" applyBorder="1" applyAlignment="1">
      <alignment horizontal="center" vertical="center"/>
    </xf>
    <xf numFmtId="0" fontId="149" fillId="0" borderId="172" xfId="3" applyFont="1" applyBorder="1" applyAlignment="1">
      <alignment horizontal="center" vertical="center"/>
    </xf>
    <xf numFmtId="0" fontId="189" fillId="0" borderId="172" xfId="0" applyFont="1" applyBorder="1" applyAlignment="1">
      <alignment horizontal="center" vertical="center"/>
    </xf>
    <xf numFmtId="0" fontId="189" fillId="0" borderId="173" xfId="0" applyFont="1" applyBorder="1" applyAlignment="1">
      <alignment horizontal="center" vertical="center"/>
    </xf>
    <xf numFmtId="0" fontId="189" fillId="0" borderId="151" xfId="0" applyFont="1" applyBorder="1" applyAlignment="1">
      <alignment horizontal="center" vertical="center"/>
    </xf>
    <xf numFmtId="0" fontId="149" fillId="0" borderId="9" xfId="3" applyFont="1" applyFill="1" applyBorder="1" applyAlignment="1">
      <alignment horizontal="center" vertical="center" wrapText="1"/>
    </xf>
    <xf numFmtId="0" fontId="149" fillId="0" borderId="9" xfId="3" applyFont="1" applyFill="1" applyBorder="1" applyAlignment="1">
      <alignment horizontal="center" vertical="center"/>
    </xf>
    <xf numFmtId="0" fontId="149" fillId="0" borderId="9" xfId="3" applyFont="1" applyBorder="1" applyAlignment="1">
      <alignment horizontal="center" vertical="center" wrapText="1"/>
    </xf>
    <xf numFmtId="0" fontId="149" fillId="0" borderId="66" xfId="3" applyFont="1" applyBorder="1" applyAlignment="1">
      <alignment horizontal="center" vertical="center" wrapText="1"/>
    </xf>
    <xf numFmtId="41" fontId="189" fillId="0" borderId="9" xfId="1" applyFont="1" applyBorder="1" applyAlignment="1">
      <alignment horizontal="center" vertical="center"/>
    </xf>
    <xf numFmtId="0" fontId="149" fillId="0" borderId="9" xfId="3" applyFont="1" applyBorder="1" applyAlignment="1">
      <alignment horizontal="center" vertical="center"/>
    </xf>
    <xf numFmtId="0" fontId="149" fillId="0" borderId="66" xfId="3" applyFont="1" applyBorder="1" applyAlignment="1">
      <alignment horizontal="center" vertical="center"/>
    </xf>
    <xf numFmtId="49" fontId="189" fillId="47" borderId="154" xfId="0" applyNumberFormat="1" applyFont="1" applyFill="1" applyBorder="1" applyAlignment="1">
      <alignment horizontal="center" vertical="center"/>
    </xf>
    <xf numFmtId="0" fontId="149" fillId="0" borderId="154" xfId="3" applyFont="1" applyBorder="1" applyAlignment="1">
      <alignment horizontal="center" vertical="center"/>
    </xf>
    <xf numFmtId="0" fontId="149" fillId="0" borderId="159" xfId="3" applyFont="1" applyBorder="1" applyAlignment="1">
      <alignment horizontal="center" vertical="center"/>
    </xf>
    <xf numFmtId="186" fontId="189" fillId="0" borderId="145" xfId="5" applyNumberFormat="1" applyFont="1" applyBorder="1" applyAlignment="1">
      <alignment horizontal="center" vertical="center"/>
    </xf>
    <xf numFmtId="186" fontId="189" fillId="0" borderId="146" xfId="5" applyNumberFormat="1" applyFont="1" applyBorder="1" applyAlignment="1">
      <alignment horizontal="center" vertical="center"/>
    </xf>
    <xf numFmtId="186" fontId="189" fillId="0" borderId="148" xfId="5" applyNumberFormat="1" applyFont="1" applyBorder="1" applyAlignment="1">
      <alignment horizontal="center" vertical="center"/>
    </xf>
    <xf numFmtId="0" fontId="149" fillId="51" borderId="4" xfId="3" applyFont="1" applyFill="1" applyBorder="1" applyAlignment="1">
      <alignment horizontal="center" vertical="center"/>
    </xf>
    <xf numFmtId="0" fontId="149" fillId="51" borderId="20" xfId="3" applyFont="1" applyFill="1" applyBorder="1" applyAlignment="1">
      <alignment horizontal="center" vertical="center"/>
    </xf>
    <xf numFmtId="49" fontId="189" fillId="0" borderId="9" xfId="0" applyNumberFormat="1" applyFont="1" applyBorder="1" applyAlignment="1">
      <alignment horizontal="center" vertical="center"/>
    </xf>
    <xf numFmtId="49" fontId="189" fillId="0" borderId="145" xfId="0" applyNumberFormat="1" applyFont="1" applyBorder="1" applyAlignment="1">
      <alignment horizontal="center" vertical="center"/>
    </xf>
    <xf numFmtId="49" fontId="189" fillId="0" borderId="146" xfId="0" applyNumberFormat="1" applyFont="1" applyBorder="1" applyAlignment="1">
      <alignment horizontal="center" vertical="center"/>
    </xf>
    <xf numFmtId="49" fontId="189" fillId="0" borderId="148" xfId="0" applyNumberFormat="1" applyFont="1" applyBorder="1" applyAlignment="1">
      <alignment horizontal="center" vertical="center"/>
    </xf>
    <xf numFmtId="49" fontId="189" fillId="0" borderId="9" xfId="0" applyNumberFormat="1" applyFont="1" applyBorder="1" applyAlignment="1">
      <alignment horizontal="left" vertical="center" wrapText="1"/>
    </xf>
    <xf numFmtId="49" fontId="189" fillId="0" borderId="9" xfId="0" applyNumberFormat="1" applyFont="1" applyBorder="1" applyAlignment="1">
      <alignment horizontal="left" vertical="center"/>
    </xf>
    <xf numFmtId="41" fontId="149" fillId="0" borderId="9" xfId="1" applyFont="1" applyBorder="1" applyAlignment="1">
      <alignment horizontal="center" vertical="center"/>
    </xf>
    <xf numFmtId="49" fontId="189" fillId="47" borderId="9" xfId="0" applyNumberFormat="1" applyFont="1" applyFill="1" applyBorder="1" applyAlignment="1">
      <alignment horizontal="center" vertical="center"/>
    </xf>
    <xf numFmtId="49" fontId="189" fillId="0" borderId="154" xfId="0" applyNumberFormat="1" applyFont="1" applyBorder="1" applyAlignment="1">
      <alignment horizontal="center" vertical="center"/>
    </xf>
    <xf numFmtId="0" fontId="149" fillId="0" borderId="145" xfId="3" applyFont="1" applyFill="1" applyBorder="1" applyAlignment="1">
      <alignment horizontal="center" vertical="center"/>
    </xf>
    <xf numFmtId="0" fontId="149" fillId="0" borderId="146" xfId="3" applyFont="1" applyFill="1" applyBorder="1" applyAlignment="1">
      <alignment horizontal="center" vertical="center"/>
    </xf>
    <xf numFmtId="0" fontId="149" fillId="0" borderId="148" xfId="3" applyFont="1" applyFill="1" applyBorder="1" applyAlignment="1">
      <alignment horizontal="center" vertical="center"/>
    </xf>
    <xf numFmtId="0" fontId="149" fillId="0" borderId="145" xfId="3" applyFont="1" applyBorder="1" applyAlignment="1">
      <alignment horizontal="center" vertical="center"/>
    </xf>
    <xf numFmtId="0" fontId="149" fillId="0" borderId="147" xfId="3" applyFont="1" applyBorder="1" applyAlignment="1">
      <alignment horizontal="center" vertical="center"/>
    </xf>
    <xf numFmtId="0" fontId="149" fillId="0" borderId="145" xfId="3" applyFont="1" applyFill="1" applyBorder="1" applyAlignment="1">
      <alignment horizontal="center" vertical="center" wrapText="1"/>
    </xf>
    <xf numFmtId="0" fontId="149" fillId="0" borderId="145" xfId="3" applyFont="1" applyBorder="1" applyAlignment="1">
      <alignment horizontal="center" vertical="center" wrapText="1"/>
    </xf>
    <xf numFmtId="0" fontId="149" fillId="0" borderId="147" xfId="3" applyFont="1" applyBorder="1" applyAlignment="1">
      <alignment horizontal="center" vertical="center" wrapText="1"/>
    </xf>
    <xf numFmtId="0" fontId="149" fillId="27" borderId="4" xfId="3" applyFont="1" applyFill="1" applyBorder="1" applyAlignment="1">
      <alignment horizontal="center" vertical="center"/>
    </xf>
    <xf numFmtId="0" fontId="149" fillId="27" borderId="20" xfId="3" applyFont="1" applyFill="1" applyBorder="1" applyAlignment="1">
      <alignment horizontal="center" vertical="center"/>
    </xf>
    <xf numFmtId="0" fontId="149" fillId="27" borderId="245" xfId="3" applyFont="1" applyFill="1" applyBorder="1" applyAlignment="1">
      <alignment horizontal="center" vertical="center"/>
    </xf>
    <xf numFmtId="31" fontId="149" fillId="0" borderId="150" xfId="3" applyNumberFormat="1" applyFont="1" applyBorder="1" applyAlignment="1">
      <alignment horizontal="center" vertical="center"/>
    </xf>
    <xf numFmtId="31" fontId="149" fillId="0" borderId="172" xfId="3" applyNumberFormat="1" applyFont="1" applyBorder="1" applyAlignment="1">
      <alignment horizontal="center" vertical="center"/>
    </xf>
    <xf numFmtId="31" fontId="149" fillId="0" borderId="173" xfId="3" applyNumberFormat="1" applyFont="1" applyBorder="1" applyAlignment="1">
      <alignment horizontal="center" vertical="center"/>
    </xf>
    <xf numFmtId="0" fontId="149" fillId="0" borderId="151" xfId="3" applyFont="1" applyBorder="1" applyAlignment="1">
      <alignment horizontal="center" vertical="center"/>
    </xf>
    <xf numFmtId="0" fontId="201" fillId="51" borderId="246" xfId="4" applyFont="1" applyFill="1" applyBorder="1" applyAlignment="1">
      <alignment horizontal="center" vertical="center"/>
    </xf>
    <xf numFmtId="0" fontId="201" fillId="51" borderId="72" xfId="4" applyFont="1" applyFill="1" applyBorder="1" applyAlignment="1">
      <alignment horizontal="center" vertical="center"/>
    </xf>
    <xf numFmtId="0" fontId="189" fillId="0" borderId="0" xfId="4" applyFont="1" applyAlignment="1">
      <alignment horizontal="left" vertical="center"/>
    </xf>
    <xf numFmtId="0" fontId="201" fillId="51" borderId="247" xfId="4" applyFont="1" applyFill="1" applyBorder="1" applyAlignment="1">
      <alignment horizontal="center" vertical="center"/>
    </xf>
    <xf numFmtId="0" fontId="201" fillId="51" borderId="248" xfId="4" applyFont="1" applyFill="1" applyBorder="1" applyAlignment="1">
      <alignment horizontal="center" vertical="center"/>
    </xf>
    <xf numFmtId="0" fontId="201" fillId="51" borderId="249" xfId="4" applyFont="1" applyFill="1" applyBorder="1" applyAlignment="1">
      <alignment horizontal="center" vertical="center"/>
    </xf>
    <xf numFmtId="0" fontId="207" fillId="0" borderId="0" xfId="4" applyFont="1" applyAlignment="1">
      <alignment horizontal="left" vertical="center" wrapText="1"/>
    </xf>
    <xf numFmtId="0" fontId="207" fillId="0" borderId="0" xfId="4" applyFont="1" applyAlignment="1">
      <alignment horizontal="left" vertical="center"/>
    </xf>
    <xf numFmtId="41" fontId="19" fillId="51" borderId="264" xfId="11" applyFont="1" applyFill="1" applyBorder="1" applyAlignment="1" applyProtection="1">
      <alignment horizontal="center" vertical="center"/>
      <protection locked="0"/>
    </xf>
    <xf numFmtId="0" fontId="46" fillId="51" borderId="264" xfId="0" applyFont="1" applyFill="1" applyBorder="1" applyAlignment="1" applyProtection="1">
      <alignment horizontal="center" vertical="center" wrapText="1"/>
      <protection locked="0"/>
    </xf>
    <xf numFmtId="14" fontId="46" fillId="51" borderId="264" xfId="0" applyNumberFormat="1" applyFont="1" applyFill="1" applyBorder="1" applyAlignment="1" applyProtection="1">
      <alignment horizontal="center" vertical="center"/>
      <protection locked="0"/>
    </xf>
    <xf numFmtId="14" fontId="46" fillId="51" borderId="264" xfId="0" applyNumberFormat="1" applyFont="1" applyFill="1" applyBorder="1" applyAlignment="1" applyProtection="1">
      <alignment horizontal="center" vertical="center" wrapText="1"/>
      <protection locked="0"/>
    </xf>
    <xf numFmtId="187" fontId="46" fillId="51" borderId="264" xfId="0" applyNumberFormat="1" applyFont="1" applyFill="1" applyBorder="1" applyAlignment="1" applyProtection="1">
      <alignment horizontal="center" vertical="center"/>
      <protection locked="0"/>
    </xf>
    <xf numFmtId="0" fontId="46" fillId="51" borderId="264" xfId="0" applyFont="1" applyFill="1" applyBorder="1" applyAlignment="1" applyProtection="1">
      <alignment horizontal="center" vertical="center"/>
      <protection locked="0"/>
    </xf>
    <xf numFmtId="0" fontId="44" fillId="18" borderId="184" xfId="0" applyFont="1" applyFill="1" applyBorder="1" applyAlignment="1">
      <alignment horizontal="center" vertical="center"/>
    </xf>
    <xf numFmtId="0" fontId="44" fillId="18" borderId="262" xfId="0" applyFont="1" applyFill="1" applyBorder="1" applyAlignment="1">
      <alignment horizontal="center" vertical="center"/>
    </xf>
    <xf numFmtId="0" fontId="81" fillId="15" borderId="39" xfId="0" applyFont="1" applyFill="1" applyBorder="1" applyAlignment="1">
      <alignment horizontal="center" vertical="center"/>
    </xf>
    <xf numFmtId="0" fontId="81" fillId="15" borderId="40" xfId="0" applyFont="1" applyFill="1" applyBorder="1" applyAlignment="1">
      <alignment horizontal="center" vertical="center"/>
    </xf>
    <xf numFmtId="41" fontId="81" fillId="15" borderId="40" xfId="0" applyNumberFormat="1" applyFont="1" applyFill="1" applyBorder="1" applyAlignment="1">
      <alignment horizontal="center" vertical="center"/>
    </xf>
    <xf numFmtId="41" fontId="81" fillId="15" borderId="266" xfId="0" applyNumberFormat="1" applyFont="1" applyFill="1" applyBorder="1" applyAlignment="1">
      <alignment horizontal="center" vertical="center"/>
    </xf>
    <xf numFmtId="41" fontId="25" fillId="15" borderId="265" xfId="11" applyFont="1" applyFill="1" applyBorder="1" applyAlignment="1">
      <alignment horizontal="center" vertical="center"/>
    </xf>
    <xf numFmtId="41" fontId="25" fillId="15" borderId="115" xfId="11" applyFont="1" applyFill="1" applyBorder="1" applyAlignment="1">
      <alignment horizontal="center" vertical="center"/>
    </xf>
    <xf numFmtId="0" fontId="19" fillId="0" borderId="264" xfId="0" applyFont="1" applyBorder="1" applyAlignment="1">
      <alignment horizontal="center" vertical="center" wrapText="1"/>
    </xf>
    <xf numFmtId="41" fontId="88" fillId="0" borderId="264" xfId="11" applyFont="1" applyBorder="1" applyAlignment="1">
      <alignment horizontal="center" vertical="center"/>
    </xf>
    <xf numFmtId="41" fontId="43" fillId="0" borderId="264" xfId="0" applyNumberFormat="1" applyFont="1" applyBorder="1" applyAlignment="1">
      <alignment horizontal="center" vertical="center"/>
    </xf>
    <xf numFmtId="41" fontId="19" fillId="15" borderId="265" xfId="11" applyFont="1" applyFill="1" applyBorder="1" applyAlignment="1">
      <alignment horizontal="center" vertical="center"/>
    </xf>
    <xf numFmtId="41" fontId="19" fillId="15" borderId="115" xfId="11" applyFont="1" applyFill="1" applyBorder="1" applyAlignment="1">
      <alignment horizontal="center" vertical="center"/>
    </xf>
    <xf numFmtId="0" fontId="46" fillId="0" borderId="264" xfId="0" applyFont="1" applyFill="1" applyBorder="1" applyAlignment="1">
      <alignment horizontal="center" vertical="center"/>
    </xf>
    <xf numFmtId="41" fontId="46" fillId="0" borderId="264" xfId="11" applyFont="1" applyFill="1" applyBorder="1" applyAlignment="1">
      <alignment horizontal="center" vertical="center"/>
    </xf>
    <xf numFmtId="0" fontId="46" fillId="39" borderId="130" xfId="0" applyFont="1" applyFill="1" applyBorder="1" applyAlignment="1">
      <alignment horizontal="center" vertical="center"/>
    </xf>
    <xf numFmtId="41" fontId="46" fillId="39" borderId="130" xfId="0" applyNumberFormat="1" applyFont="1" applyFill="1" applyBorder="1" applyAlignment="1">
      <alignment horizontal="center" vertical="center"/>
    </xf>
    <xf numFmtId="0" fontId="19" fillId="0" borderId="264" xfId="0" applyFont="1" applyBorder="1" applyAlignment="1">
      <alignment horizontal="center" vertical="center"/>
    </xf>
    <xf numFmtId="215" fontId="237" fillId="51" borderId="190" xfId="45" applyNumberFormat="1" applyFont="1" applyFill="1" applyBorder="1" applyAlignment="1">
      <alignment horizontal="center" vertical="center"/>
    </xf>
    <xf numFmtId="0" fontId="116" fillId="51" borderId="190" xfId="0" applyFont="1" applyFill="1" applyBorder="1" applyAlignment="1">
      <alignment horizontal="center" vertical="center"/>
    </xf>
    <xf numFmtId="0" fontId="146" fillId="51" borderId="190" xfId="0" applyFont="1" applyFill="1" applyBorder="1" applyAlignment="1">
      <alignment horizontal="center" vertical="center"/>
    </xf>
    <xf numFmtId="0" fontId="109" fillId="51" borderId="190" xfId="0" applyFont="1" applyFill="1" applyBorder="1" applyAlignment="1">
      <alignment vertical="center"/>
    </xf>
    <xf numFmtId="0" fontId="116" fillId="51" borderId="190" xfId="50" applyFont="1" applyFill="1" applyBorder="1" applyAlignment="1">
      <alignment horizontal="center"/>
    </xf>
  </cellXfs>
  <cellStyles count="58">
    <cellStyle name="$ 0 decimal" xfId="31"/>
    <cellStyle name="??_x000c_둄_x001b__x000d_|?_x0001_?_x0003__x0014__x0007__x0001__x0001_" xfId="37"/>
    <cellStyle name="Comma [0] 3" xfId="51"/>
    <cellStyle name="Normal 14" xfId="35"/>
    <cellStyle name="Normal 15" xfId="41"/>
    <cellStyle name="Normal 16" xfId="42"/>
    <cellStyle name="Normal 2 2 2" xfId="53"/>
    <cellStyle name="Normal 8" xfId="39"/>
    <cellStyle name="Normal 8 2" xfId="38"/>
    <cellStyle name="Normal_Nov_AMR(Yoido_Mar_2007)" xfId="17"/>
    <cellStyle name="백분율" xfId="2" builtinId="5"/>
    <cellStyle name="백분율 2" xfId="23"/>
    <cellStyle name="백분율 2 195" xfId="12"/>
    <cellStyle name="백분율 6" xfId="20"/>
    <cellStyle name="백분율 8" xfId="13"/>
    <cellStyle name="쉼표 [0]" xfId="1" builtinId="6"/>
    <cellStyle name="쉼표 [0] 10" xfId="8"/>
    <cellStyle name="쉼표 [0] 10 2" xfId="11"/>
    <cellStyle name="쉼표 [0] 11" xfId="27"/>
    <cellStyle name="쉼표 [0] 2" xfId="5"/>
    <cellStyle name="쉼표 [0] 2 197" xfId="7"/>
    <cellStyle name="쉼표 [0] 2 3" xfId="26"/>
    <cellStyle name="쉼표 [0] 2 4 2" xfId="34"/>
    <cellStyle name="쉼표 [0] 22" xfId="14"/>
    <cellStyle name="쉼표 [0] 3" xfId="30"/>
    <cellStyle name="쉼표 [0] 4" xfId="57"/>
    <cellStyle name="쉼표 [0] 5" xfId="24"/>
    <cellStyle name="쉼표 [0] 5 3" xfId="25"/>
    <cellStyle name="쉼표 [0] 6" xfId="33"/>
    <cellStyle name="쉼표 [0] 6 2" xfId="32"/>
    <cellStyle name="쉼표 [0] 8" xfId="19"/>
    <cellStyle name="쉼표 [0] 9" xfId="22"/>
    <cellStyle name="표준" xfId="0" builtinId="0"/>
    <cellStyle name="표준 110" xfId="10"/>
    <cellStyle name="표준 12" xfId="18"/>
    <cellStyle name="표준 12 2 4" xfId="15"/>
    <cellStyle name="표준 2" xfId="3"/>
    <cellStyle name="표준 2 10 2" xfId="28"/>
    <cellStyle name="표준 2 2" xfId="56"/>
    <cellStyle name="표준 2 2 2 2" xfId="54"/>
    <cellStyle name="표준 2 8" xfId="43"/>
    <cellStyle name="표준 3" xfId="4"/>
    <cellStyle name="표준 3 2 3" xfId="29"/>
    <cellStyle name="표준 3 3" xfId="21"/>
    <cellStyle name="표준 4" xfId="9"/>
    <cellStyle name="표준 4 3" xfId="16"/>
    <cellStyle name="표준 4 3 2" xfId="52"/>
    <cellStyle name="표준 5" xfId="55"/>
    <cellStyle name="표준_5#_부동산관리보고서_2005 01_2수정(2005 03 02)" xfId="48"/>
    <cellStyle name="표준_5#_부동산관리보고서_2005 01_2수정(2005 03 02) 3" xfId="40"/>
    <cellStyle name="표준_5#_부동산관리보고서_2005 01_2수정(2005 03 02)_Anam Tower_MR_Apr 07" xfId="49"/>
    <cellStyle name="표준_AKOF_Anam Tower_MR_Aug 10" xfId="47"/>
    <cellStyle name="標準_Rent roll" xfId="44"/>
    <cellStyle name="標準_年間管理計画（英語版)" xfId="46"/>
    <cellStyle name="標準_年間管理計画（英語版) 2" xfId="45"/>
    <cellStyle name="표준_단월드_2005.8월 리포트_2부_보고서_200512_맵스13호_Anam Tower_MR_Apr 07" xfId="50"/>
    <cellStyle name="표준_명지Bldg_2월_InvoiceReport_070228" xfId="6"/>
    <cellStyle name="하이퍼링크" xfId="36" builtinId="8"/>
  </cellStyles>
  <dxfs count="163">
    <dxf>
      <font>
        <b/>
        <i val="0"/>
        <condense val="0"/>
        <extend val="0"/>
        <color indexed="9"/>
      </font>
      <fill>
        <patternFill>
          <bgColor indexed="61"/>
        </patternFill>
      </fill>
    </dxf>
    <dxf>
      <font>
        <b/>
        <i val="0"/>
        <condense val="0"/>
        <extend val="0"/>
        <color indexed="9"/>
      </font>
      <fill>
        <patternFill>
          <bgColor indexed="18"/>
        </patternFill>
      </fill>
    </dxf>
    <dxf>
      <font>
        <b/>
        <i val="0"/>
        <condense val="0"/>
        <extend val="0"/>
        <color indexed="9"/>
      </font>
      <fill>
        <patternFill>
          <bgColor indexed="61"/>
        </patternFill>
      </fill>
    </dxf>
    <dxf>
      <font>
        <b/>
        <i val="0"/>
        <condense val="0"/>
        <extend val="0"/>
        <color indexed="9"/>
      </font>
      <fill>
        <patternFill>
          <bgColor indexed="18"/>
        </patternFill>
      </fill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  <dxf>
      <font>
        <color theme="0" tint="-0.14996795556505021"/>
      </font>
    </dxf>
  </dxfs>
  <tableStyles count="0" defaultTableStyle="TableStyleMedium2" defaultPivotStyle="PivotStyleMedium9"/>
  <colors>
    <mruColors>
      <color rgb="FFFFE697"/>
      <color rgb="FFFFBF00"/>
      <color rgb="FF0000FF"/>
      <color rgb="FFCCFFFF"/>
      <color rgb="FFDCE6F1"/>
      <color rgb="FFF2DCDB"/>
      <color rgb="FFCCCCFF"/>
      <color rgb="FFDAEEF3"/>
      <color rgb="FF66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autoTitleDeleted val="1"/>
    <c:plotArea>
      <c:layout>
        <c:manualLayout>
          <c:layoutTarget val="inner"/>
          <c:xMode val="edge"/>
          <c:yMode val="edge"/>
          <c:x val="5.5255604873247301E-2"/>
          <c:y val="0.31018518518518517"/>
          <c:w val="0.87763011148154191"/>
          <c:h val="0.5036650627004958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'2-5) 임대시장 현황'!$X$7</c:f>
              <c:strCache>
                <c:ptCount val="1"/>
                <c:pt idx="0">
                  <c:v>점유율</c:v>
                </c:pt>
              </c:strCache>
            </c:strRef>
          </c:tx>
          <c:spPr>
            <a:solidFill>
              <a:schemeClr val="accent6">
                <a:tint val="77000"/>
              </a:schemeClr>
            </a:solidFill>
            <a:ln>
              <a:noFill/>
            </a:ln>
            <a:effectLst/>
          </c:spPr>
          <c:invertIfNegative val="0"/>
          <c:cat>
            <c:strRef>
              <c:f>'2-5) 임대시장 현황'!$W$8:$W$14</c:f>
              <c:strCache>
                <c:ptCount val="7"/>
                <c:pt idx="0">
                  <c:v>센터포인트웨스트</c:v>
                </c:pt>
                <c:pt idx="1">
                  <c:v>디큐브시티
(Space K)</c:v>
                </c:pt>
                <c:pt idx="2">
                  <c:v>지밸리
비즈플라자</c:v>
                </c:pt>
                <c:pt idx="3">
                  <c:v>KB손해보험
합정빌딩</c:v>
                </c:pt>
                <c:pt idx="4">
                  <c:v>세미콜론 문래</c:v>
                </c:pt>
                <c:pt idx="5">
                  <c:v>한샘 상암사옥
(디지털미디어시티역)</c:v>
                </c:pt>
                <c:pt idx="6">
                  <c:v>에이원당산</c:v>
                </c:pt>
              </c:strCache>
            </c:strRef>
          </c:cat>
          <c:val>
            <c:numRef>
              <c:f>'2-5) 임대시장 현황'!$X$8:$X$14</c:f>
              <c:numCache>
                <c:formatCode>0.0%</c:formatCode>
                <c:ptCount val="7"/>
                <c:pt idx="0">
                  <c:v>0.99633868090785049</c:v>
                </c:pt>
                <c:pt idx="1">
                  <c:v>0.99290652714493111</c:v>
                </c:pt>
                <c:pt idx="2">
                  <c:v>0.89651650296741059</c:v>
                </c:pt>
                <c:pt idx="3">
                  <c:v>1</c:v>
                </c:pt>
                <c:pt idx="4">
                  <c:v>0.83370690230076694</c:v>
                </c:pt>
                <c:pt idx="5">
                  <c:v>1</c:v>
                </c:pt>
                <c:pt idx="6">
                  <c:v>0.96060226735947096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E5-4EC3-B0E0-4E72032791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9"/>
        <c:overlap val="-27"/>
        <c:axId val="194509104"/>
        <c:axId val="194511064"/>
      </c:barChart>
      <c:lineChart>
        <c:grouping val="standard"/>
        <c:varyColors val="0"/>
        <c:ser>
          <c:idx val="1"/>
          <c:order val="1"/>
          <c:tx>
            <c:strRef>
              <c:f>'2-5) 임대시장 현황'!$Y$7</c:f>
              <c:strCache>
                <c:ptCount val="1"/>
                <c:pt idx="0">
                  <c:v>E. NOC</c:v>
                </c:pt>
              </c:strCache>
            </c:strRef>
          </c:tx>
          <c:spPr>
            <a:ln w="28575" cap="rnd">
              <a:solidFill>
                <a:schemeClr val="accent6">
                  <a:shade val="76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7.5567513139338533E-3"/>
                  <c:y val="-7.93416654808223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1-F0E5-4EC3-B0E0-4E72032791BD}"/>
                </c:ext>
              </c:extLst>
            </c:dLbl>
            <c:dLbl>
              <c:idx val="1"/>
              <c:layout>
                <c:manualLayout>
                  <c:x val="6.6121573996921219E-3"/>
                  <c:y val="-9.697314669878284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2-F0E5-4EC3-B0E0-4E72032791BD}"/>
                </c:ext>
              </c:extLst>
            </c:dLbl>
            <c:dLbl>
              <c:idx val="2"/>
              <c:layout>
                <c:manualLayout>
                  <c:x val="8.5013452281755848E-3"/>
                  <c:y val="-7.93416654808223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3-F0E5-4EC3-B0E0-4E72032791BD}"/>
                </c:ext>
              </c:extLst>
            </c:dLbl>
            <c:dLbl>
              <c:idx val="3"/>
              <c:layout>
                <c:manualLayout>
                  <c:x val="1.4168908713625975E-2"/>
                  <c:y val="-0.1190124982212334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4-F0E5-4EC3-B0E0-4E72032791BD}"/>
                </c:ext>
              </c:extLst>
            </c:dLbl>
            <c:dLbl>
              <c:idx val="4"/>
              <c:layout>
                <c:manualLayout>
                  <c:x val="1.6058096542109299E-2"/>
                  <c:y val="-9.697314669878280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5-F0E5-4EC3-B0E0-4E72032791BD}"/>
                </c:ext>
              </c:extLst>
            </c:dLbl>
            <c:dLbl>
              <c:idx val="5"/>
              <c:layout>
                <c:manualLayout>
                  <c:x val="1.1335126970900781E-2"/>
                  <c:y val="-0.189538423093075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6-F0E5-4EC3-B0E0-4E72032791BD}"/>
                </c:ext>
              </c:extLst>
            </c:dLbl>
            <c:dLbl>
              <c:idx val="6"/>
              <c:layout>
                <c:manualLayout>
                  <c:x val="1.0390533056659049E-2"/>
                  <c:y val="-0.2159856449200162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7-F0E5-4EC3-B0E0-4E72032791B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'2-5) 임대시장 현황'!$W$8:$W$14</c:f>
              <c:strCache>
                <c:ptCount val="7"/>
                <c:pt idx="0">
                  <c:v>센터포인트웨스트</c:v>
                </c:pt>
                <c:pt idx="1">
                  <c:v>디큐브시티
(Space K)</c:v>
                </c:pt>
                <c:pt idx="2">
                  <c:v>지밸리
비즈플라자</c:v>
                </c:pt>
                <c:pt idx="3">
                  <c:v>KB손해보험
합정빌딩</c:v>
                </c:pt>
                <c:pt idx="4">
                  <c:v>세미콜론 문래</c:v>
                </c:pt>
                <c:pt idx="5">
                  <c:v>한샘 상암사옥
(디지털미디어시티역)</c:v>
                </c:pt>
                <c:pt idx="6">
                  <c:v>에이원당산</c:v>
                </c:pt>
              </c:strCache>
            </c:strRef>
          </c:cat>
          <c:val>
            <c:numRef>
              <c:f>'2-5) 임대시장 현황'!$Y$8:$Y$14</c:f>
              <c:numCache>
                <c:formatCode>_(* #,##0_);_(* \(#,##0\);_(* "-"_);_(@_)</c:formatCode>
                <c:ptCount val="7"/>
                <c:pt idx="0">
                  <c:v>217797.96900053447</c:v>
                </c:pt>
                <c:pt idx="1">
                  <c:v>243568.60158311346</c:v>
                </c:pt>
                <c:pt idx="2">
                  <c:v>157295.94832648267</c:v>
                </c:pt>
                <c:pt idx="3">
                  <c:v>178648.84393063583</c:v>
                </c:pt>
                <c:pt idx="4">
                  <c:v>212778.7530069566</c:v>
                </c:pt>
                <c:pt idx="5">
                  <c:v>161690.37813552975</c:v>
                </c:pt>
                <c:pt idx="6">
                  <c:v>176700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F0E5-4EC3-B0E0-4E72032791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4511456"/>
        <c:axId val="194510280"/>
      </c:lineChart>
      <c:catAx>
        <c:axId val="1945091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4511064"/>
        <c:crosses val="autoZero"/>
        <c:auto val="1"/>
        <c:lblAlgn val="ctr"/>
        <c:lblOffset val="100"/>
        <c:noMultiLvlLbl val="0"/>
      </c:catAx>
      <c:valAx>
        <c:axId val="194511064"/>
        <c:scaling>
          <c:orientation val="minMax"/>
          <c:max val="1"/>
          <c:min val="0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4509104"/>
        <c:crosses val="autoZero"/>
        <c:crossBetween val="between"/>
      </c:valAx>
      <c:valAx>
        <c:axId val="194510280"/>
        <c:scaling>
          <c:orientation val="minMax"/>
        </c:scaling>
        <c:delete val="0"/>
        <c:axPos val="r"/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4511456"/>
        <c:crosses val="max"/>
        <c:crossBetween val="between"/>
      </c:valAx>
      <c:catAx>
        <c:axId val="194511456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9451028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4509358954687086"/>
          <c:y val="7.4897699230531564E-2"/>
          <c:w val="0.15009027018819657"/>
          <c:h val="7.438333200287380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90"/>
      <c:rotY val="0"/>
      <c:rAngAx val="0"/>
      <c:perspective val="19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6510391586648239E-3"/>
          <c:y val="5.8519268045887328E-2"/>
          <c:w val="0.82467847718674314"/>
          <c:h val="0.85645365771547566"/>
        </c:manualLayout>
      </c:layout>
      <c:pie3DChart>
        <c:varyColors val="1"/>
        <c:ser>
          <c:idx val="0"/>
          <c:order val="0"/>
          <c:val>
            <c:numRef>
              <c:f>'[2]4.시설관리_임차인서비스요청'!$C$64:$K$64</c:f>
              <c:numCache>
                <c:formatCode>General</c:formatCode>
                <c:ptCount val="9"/>
                <c:pt idx="0">
                  <c:v>0</c:v>
                </c:pt>
                <c:pt idx="1">
                  <c:v>6</c:v>
                </c:pt>
                <c:pt idx="2">
                  <c:v>0</c:v>
                </c:pt>
                <c:pt idx="3">
                  <c:v>9</c:v>
                </c:pt>
                <c:pt idx="4">
                  <c:v>0</c:v>
                </c:pt>
                <c:pt idx="5">
                  <c:v>6</c:v>
                </c:pt>
                <c:pt idx="6">
                  <c:v>0</c:v>
                </c:pt>
                <c:pt idx="7">
                  <c:v>49</c:v>
                </c:pt>
                <c:pt idx="8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'[2]4.시설관리_임차인서비스요청'!$C$63:$K$63</c15:sqref>
                        </c15:formulaRef>
                      </c:ext>
                    </c:extLst>
                    <c:strCache>
                      <c:ptCount val="9"/>
                      <c:pt idx="0">
                        <c:v>냉난방/공조</c:v>
                      </c:pt>
                      <c:pt idx="1">
                        <c:v>조명/전기</c:v>
                      </c:pt>
                      <c:pt idx="2">
                        <c:v>미화</c:v>
                      </c:pt>
                      <c:pt idx="3">
                        <c:v>건축</c:v>
                      </c:pt>
                      <c:pt idx="4">
                        <c:v>주차</c:v>
                      </c:pt>
                      <c:pt idx="5">
                        <c:v>E/V</c:v>
                      </c:pt>
                      <c:pt idx="6">
                        <c:v>방재</c:v>
                      </c:pt>
                      <c:pt idx="7">
                        <c:v>위생</c:v>
                      </c:pt>
                      <c:pt idx="8">
                        <c:v>기타</c:v>
                      </c:pt>
                    </c:strCache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0-A95B-449F-AAF8-6D54932EAB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</c:pie3DChart>
    </c:plotArea>
    <c:legend>
      <c:legendPos val="r"/>
      <c:layout>
        <c:manualLayout>
          <c:xMode val="edge"/>
          <c:yMode val="edge"/>
          <c:x val="0.76979484707268786"/>
          <c:y val="6.3759039567591463E-2"/>
          <c:w val="0.19805760921106239"/>
          <c:h val="0.87337911346112618"/>
        </c:manualLayout>
      </c:layout>
      <c:overlay val="0"/>
      <c:txPr>
        <a:bodyPr/>
        <a:lstStyle/>
        <a:p>
          <a:pPr rtl="0">
            <a:defRPr/>
          </a:pPr>
          <a:endParaRPr lang="ko-KR"/>
        </a:p>
      </c:txPr>
    </c:legend>
    <c:plotVisOnly val="1"/>
    <c:dispBlanksAs val="zero"/>
    <c:showDLblsOverMax val="0"/>
  </c:chart>
  <c:printSettings>
    <c:headerFooter/>
    <c:pageMargins b="0.75000000000001465" l="0.70000000000000062" r="0.70000000000000062" t="0.75000000000001465" header="0.30000000000000032" footer="0.30000000000000032"/>
    <c:pageSetup orientation="portrait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369007743955259"/>
          <c:y val="7.8853289994659417E-2"/>
          <c:w val="0.8587478127734034"/>
          <c:h val="0.72205571077808828"/>
        </c:manualLayout>
      </c:layout>
      <c:barChart>
        <c:barDir val="col"/>
        <c:grouping val="clustered"/>
        <c:varyColors val="0"/>
        <c:ser>
          <c:idx val="0"/>
          <c:order val="0"/>
          <c:tx>
            <c:v>예산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'3-4) 예산-실적 비교'!$B$28:$B$31</c:f>
              <c:strCache>
                <c:ptCount val="4"/>
                <c:pt idx="0">
                  <c:v>영업수익</c:v>
                </c:pt>
                <c:pt idx="1">
                  <c:v>영업비용</c:v>
                </c:pt>
                <c:pt idx="2">
                  <c:v>영업이익</c:v>
                </c:pt>
                <c:pt idx="3">
                  <c:v>CAPEX</c:v>
                </c:pt>
              </c:strCache>
            </c:strRef>
          </c:cat>
          <c:val>
            <c:numRef>
              <c:f>'3-4) 예산-실적 비교'!$C$28:$C$31</c:f>
              <c:numCache>
                <c:formatCode>_(* #,##0_);_(* \(#,##0\);_(* "-"_);_(@_)</c:formatCode>
                <c:ptCount val="4"/>
                <c:pt idx="0">
                  <c:v>2076.7678275176895</c:v>
                </c:pt>
                <c:pt idx="1">
                  <c:v>1094.2961358420239</c:v>
                </c:pt>
                <c:pt idx="2">
                  <c:v>982.47169167566562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9A8-46C8-8405-2B8425EDFCB6}"/>
            </c:ext>
          </c:extLst>
        </c:ser>
        <c:ser>
          <c:idx val="1"/>
          <c:order val="1"/>
          <c:tx>
            <c:v>실적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'3-4) 예산-실적 비교'!$B$28:$B$31</c:f>
              <c:strCache>
                <c:ptCount val="4"/>
                <c:pt idx="0">
                  <c:v>영업수익</c:v>
                </c:pt>
                <c:pt idx="1">
                  <c:v>영업비용</c:v>
                </c:pt>
                <c:pt idx="2">
                  <c:v>영업이익</c:v>
                </c:pt>
                <c:pt idx="3">
                  <c:v>CAPEX</c:v>
                </c:pt>
              </c:strCache>
            </c:strRef>
          </c:cat>
          <c:val>
            <c:numRef>
              <c:f>'3-4) 예산-실적 비교'!$D$28:$D$31</c:f>
              <c:numCache>
                <c:formatCode>_(* #,##0_);_(* \(#,##0\);_(* "-"_);_(@_)</c:formatCode>
                <c:ptCount val="4"/>
                <c:pt idx="0">
                  <c:v>2156.845734</c:v>
                </c:pt>
                <c:pt idx="1">
                  <c:v>977.41201999999998</c:v>
                </c:pt>
                <c:pt idx="2">
                  <c:v>1179.433714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9A8-46C8-8405-2B8425EDFC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4508712"/>
        <c:axId val="194510672"/>
      </c:barChart>
      <c:catAx>
        <c:axId val="1945087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4510672"/>
        <c:crosses val="autoZero"/>
        <c:auto val="1"/>
        <c:lblAlgn val="ctr"/>
        <c:lblOffset val="100"/>
        <c:noMultiLvlLbl val="0"/>
      </c:catAx>
      <c:valAx>
        <c:axId val="19451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  <a:alpha val="61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45087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6889580723185946"/>
          <c:y val="7.7956142578951809E-2"/>
          <c:w val="0.15610424256427519"/>
          <c:h val="0.1756389843534751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6"/>
            </a:solidFill>
            <a:ln>
              <a:solidFill>
                <a:schemeClr val="tx1">
                  <a:lumMod val="50000"/>
                  <a:lumOff val="50000"/>
                </a:schemeClr>
              </a:solidFill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5"/>
              </a:solidFill>
              <a:ln>
                <a:solidFill>
                  <a:schemeClr val="tx1">
                    <a:lumMod val="50000"/>
                    <a:lumOff val="50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F7D-4696-A0C6-BE0100945175}"/>
              </c:ext>
            </c:extLst>
          </c:dPt>
          <c:dLbls>
            <c:dLbl>
              <c:idx val="0"/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DF7D-4696-A0C6-BE0100945175}"/>
                </c:ext>
              </c:extLst>
            </c:dLbl>
            <c:dLbl>
              <c:idx val="1"/>
              <c:layout>
                <c:manualLayout>
                  <c:x val="4.3272054575129899E-3"/>
                  <c:y val="0.36172228306868015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F7D-4696-A0C6-BE010094517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KB금융 본문체 Light" panose="020B0303000000000000" pitchFamily="50" charset="-127"/>
                    <a:ea typeface="KB금융 본문체 Light" panose="020B0303000000000000" pitchFamily="50" charset="-127"/>
                    <a:cs typeface="+mn-cs"/>
                  </a:defRPr>
                </a:pPr>
                <a:endParaRPr lang="ko-KR"/>
              </a:p>
            </c:txPr>
            <c:dLblPos val="ctr"/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extLst>
                <c:ext xmlns:c15="http://schemas.microsoft.com/office/drawing/2012/chart" uri="{02D57815-91ED-43cb-92C2-25804820EDAC}">
                  <c15:fullRef>
                    <c15:sqref>'3-4) 예산-실적 비교'!$C$8:$F$9</c15:sqref>
                  </c15:fullRef>
                </c:ext>
              </c:extLst>
              <c:f>('3-4) 예산-실적 비교'!$D$8:$D$9,'3-4) 예산-실적 비교'!$F$8:$F$9)</c:f>
              <c:multiLvlStrCache>
                <c:ptCount val="2"/>
                <c:lvl>
                  <c:pt idx="0">
                    <c:v>%</c:v>
                  </c:pt>
                  <c:pt idx="1">
                    <c:v>%</c:v>
                  </c:pt>
                </c:lvl>
                <c:lvl/>
              </c:multiLvlStrCache>
            </c:multiLvl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'3-4) 예산-실적 비교'!$C$10:$F$10</c15:sqref>
                  </c15:fullRef>
                </c:ext>
              </c:extLst>
              <c:f>('3-4) 예산-실적 비교'!$D$10,'3-4) 예산-실적 비교'!$F$10)</c:f>
              <c:numCache>
                <c:formatCode>0.00%</c:formatCode>
                <c:ptCount val="2"/>
                <c:pt idx="0">
                  <c:v>0.97282892108304142</c:v>
                </c:pt>
                <c:pt idx="1">
                  <c:v>0.99642926607560467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F7D-4696-A0C6-BE01009451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4509888"/>
        <c:axId val="196765768"/>
      </c:barChart>
      <c:catAx>
        <c:axId val="194509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KB금융 본문체 Light" panose="020B0303000000000000" pitchFamily="50" charset="-127"/>
                <a:ea typeface="KB금융 본문체 Light" panose="020B0303000000000000" pitchFamily="50" charset="-127"/>
                <a:cs typeface="+mn-cs"/>
              </a:defRPr>
            </a:pPr>
            <a:endParaRPr lang="ko-KR"/>
          </a:p>
        </c:txPr>
        <c:crossAx val="196765768"/>
        <c:crosses val="autoZero"/>
        <c:auto val="1"/>
        <c:lblAlgn val="ctr"/>
        <c:lblOffset val="100"/>
        <c:noMultiLvlLbl val="0"/>
      </c:catAx>
      <c:valAx>
        <c:axId val="196765768"/>
        <c:scaling>
          <c:orientation val="minMax"/>
          <c:max val="1"/>
          <c:min val="0.92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  <a:alpha val="50000"/>
                </a:schemeClr>
              </a:solidFill>
              <a:round/>
            </a:ln>
            <a:effectLst/>
          </c:spPr>
        </c:majorGridlines>
        <c:numFmt formatCode="0.0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KB금융 본문체 Light" panose="020B0303000000000000" pitchFamily="50" charset="-127"/>
                <a:ea typeface="KB금융 본문체 Light" panose="020B0303000000000000" pitchFamily="50" charset="-127"/>
                <a:cs typeface="+mn-cs"/>
              </a:defRPr>
            </a:pPr>
            <a:endParaRPr lang="ko-KR"/>
          </a:p>
        </c:txPr>
        <c:crossAx val="194509888"/>
        <c:crosses val="autoZero"/>
        <c:crossBetween val="between"/>
      </c:valAx>
      <c:spPr>
        <a:noFill/>
        <a:ln>
          <a:solidFill>
            <a:schemeClr val="bg1">
              <a:lumMod val="50000"/>
            </a:schemeClr>
          </a:solidFill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945625546806649"/>
          <c:y val="7.8853046594982074E-2"/>
          <c:w val="0.8587478127734034"/>
          <c:h val="0.72205571077808828"/>
        </c:manualLayout>
      </c:layout>
      <c:barChart>
        <c:barDir val="col"/>
        <c:grouping val="clustered"/>
        <c:varyColors val="0"/>
        <c:ser>
          <c:idx val="0"/>
          <c:order val="0"/>
          <c:tx>
            <c:v>예산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'3-4) 예산-실적 비교'!$H$28:$H$31</c:f>
              <c:strCache>
                <c:ptCount val="4"/>
                <c:pt idx="0">
                  <c:v>영업수익</c:v>
                </c:pt>
                <c:pt idx="1">
                  <c:v>영업비용</c:v>
                </c:pt>
                <c:pt idx="2">
                  <c:v>영업이익</c:v>
                </c:pt>
                <c:pt idx="3">
                  <c:v>CAPEX</c:v>
                </c:pt>
              </c:strCache>
            </c:strRef>
          </c:cat>
          <c:val>
            <c:numRef>
              <c:f>'3-4) 예산-실적 비교'!$I$28:$I$31</c:f>
              <c:numCache>
                <c:formatCode>_-* #,##0,,_-;"△"\ #,##0,,_-;_-* "-"_-;_-@_-</c:formatCode>
                <c:ptCount val="4"/>
                <c:pt idx="0">
                  <c:v>8357883237.2295485</c:v>
                </c:pt>
                <c:pt idx="1">
                  <c:v>4153307943.0097842</c:v>
                </c:pt>
                <c:pt idx="2">
                  <c:v>4204575294.2197642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402-474C-A500-3E216D96D720}"/>
            </c:ext>
          </c:extLst>
        </c:ser>
        <c:ser>
          <c:idx val="1"/>
          <c:order val="1"/>
          <c:tx>
            <c:v>실적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'3-4) 예산-실적 비교'!$H$28:$H$31</c:f>
              <c:strCache>
                <c:ptCount val="4"/>
                <c:pt idx="0">
                  <c:v>영업수익</c:v>
                </c:pt>
                <c:pt idx="1">
                  <c:v>영업비용</c:v>
                </c:pt>
                <c:pt idx="2">
                  <c:v>영업이익</c:v>
                </c:pt>
                <c:pt idx="3">
                  <c:v>CAPEX</c:v>
                </c:pt>
              </c:strCache>
            </c:strRef>
          </c:cat>
          <c:val>
            <c:numRef>
              <c:f>'3-4) 예산-실적 비교'!$K$28:$K$31</c:f>
              <c:numCache>
                <c:formatCode>_-* #,##0,,_-;"△"\ #,##0,,_-;_-* "-"_-;_-@_-</c:formatCode>
                <c:ptCount val="4"/>
                <c:pt idx="0">
                  <c:v>8400660119</c:v>
                </c:pt>
                <c:pt idx="1">
                  <c:v>4155475443</c:v>
                </c:pt>
                <c:pt idx="2">
                  <c:v>4245184676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402-474C-A500-3E216D96D7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6766160"/>
        <c:axId val="196768904"/>
      </c:barChart>
      <c:catAx>
        <c:axId val="1967661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6768904"/>
        <c:crosses val="autoZero"/>
        <c:auto val="1"/>
        <c:lblAlgn val="ctr"/>
        <c:lblOffset val="100"/>
        <c:noMultiLvlLbl val="0"/>
      </c:catAx>
      <c:valAx>
        <c:axId val="196768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  <a:alpha val="61000"/>
                </a:schemeClr>
              </a:solidFill>
              <a:round/>
            </a:ln>
            <a:effectLst/>
          </c:spPr>
        </c:majorGridlines>
        <c:numFmt formatCode="_-* #,##0,,_-;&quot;△&quot;\ #,##0,,_-;_-* &quot;-&quot;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67661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6889580723185946"/>
          <c:y val="7.7956142578951809E-2"/>
          <c:w val="0.15610424256427519"/>
          <c:h val="0.1756389843534751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sz="1400" b="0" i="0" baseline="0">
                <a:effectLst/>
              </a:rPr>
              <a:t>23. Q4</a:t>
            </a:r>
            <a:endParaRPr lang="ko-KR" altLang="ko-KR" sz="1400">
              <a:effectLst/>
            </a:endParaRPr>
          </a:p>
        </c:rich>
      </c:tx>
      <c:layout>
        <c:manualLayout>
          <c:xMode val="edge"/>
          <c:yMode val="edge"/>
          <c:x val="4.4213622920136517E-2"/>
          <c:y val="8.286252354048964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2867287380651058"/>
          <c:y val="0.2715070361967466"/>
          <c:w val="0.72032530860115529"/>
          <c:h val="0.6599495825733647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'3.재무성과분석_성과분석(수입비용현황2)'!$G$57</c:f>
              <c:strCache>
                <c:ptCount val="1"/>
                <c:pt idx="0">
                  <c:v>1월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'3.재무성과분석_성과분석(수입비용현황2)'!$F$58:$F$62</c:f>
              <c:strCache>
                <c:ptCount val="5"/>
                <c:pt idx="0">
                  <c:v>Income</c:v>
                </c:pt>
                <c:pt idx="1">
                  <c:v>Expense</c:v>
                </c:pt>
                <c:pt idx="2">
                  <c:v>NOI</c:v>
                </c:pt>
                <c:pt idx="3">
                  <c:v>CAPEX</c:v>
                </c:pt>
                <c:pt idx="4">
                  <c:v>Cash Flow</c:v>
                </c:pt>
              </c:strCache>
            </c:strRef>
          </c:cat>
          <c:val>
            <c:numRef>
              <c:f>'3.재무성과분석_성과분석(수입비용현황2)'!$G$58:$G$62</c:f>
              <c:numCache>
                <c:formatCode>_(* #,##0_);_(* \(#,##0\);_(* "-"_);_(@_)</c:formatCode>
                <c:ptCount val="5"/>
                <c:pt idx="0">
                  <c:v>1275618738</c:v>
                </c:pt>
                <c:pt idx="1">
                  <c:v>1076872006</c:v>
                </c:pt>
                <c:pt idx="2">
                  <c:v>896768114</c:v>
                </c:pt>
                <c:pt idx="3">
                  <c:v>0</c:v>
                </c:pt>
                <c:pt idx="4">
                  <c:v>896768114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59-4E24-878F-62C2AA56C61C}"/>
            </c:ext>
          </c:extLst>
        </c:ser>
        <c:ser>
          <c:idx val="1"/>
          <c:order val="1"/>
          <c:tx>
            <c:strRef>
              <c:f>'3.재무성과분석_성과분석(수입비용현황2)'!$H$57</c:f>
              <c:strCache>
                <c:ptCount val="1"/>
                <c:pt idx="0">
                  <c:v>2월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'3.재무성과분석_성과분석(수입비용현황2)'!$F$58:$F$62</c:f>
              <c:strCache>
                <c:ptCount val="5"/>
                <c:pt idx="0">
                  <c:v>Income</c:v>
                </c:pt>
                <c:pt idx="1">
                  <c:v>Expense</c:v>
                </c:pt>
                <c:pt idx="2">
                  <c:v>NOI</c:v>
                </c:pt>
                <c:pt idx="3">
                  <c:v>CAPEX</c:v>
                </c:pt>
                <c:pt idx="4">
                  <c:v>Cash Flow</c:v>
                </c:pt>
              </c:strCache>
            </c:strRef>
          </c:cat>
          <c:val>
            <c:numRef>
              <c:f>'3.재무성과분석_성과분석(수입비용현황2)'!$H$58:$H$62</c:f>
              <c:numCache>
                <c:formatCode>_(* #,##0_);_(* \(#,##0\);_(* "-"_);_(@_)</c:formatCode>
                <c:ptCount val="5"/>
                <c:pt idx="0">
                  <c:v>972375031</c:v>
                </c:pt>
                <c:pt idx="1">
                  <c:v>1028707984</c:v>
                </c:pt>
                <c:pt idx="2">
                  <c:v>1075001716</c:v>
                </c:pt>
                <c:pt idx="3">
                  <c:v>0</c:v>
                </c:pt>
                <c:pt idx="4">
                  <c:v>1075001716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A59-4E24-878F-62C2AA56C61C}"/>
            </c:ext>
          </c:extLst>
        </c:ser>
        <c:ser>
          <c:idx val="2"/>
          <c:order val="2"/>
          <c:tx>
            <c:strRef>
              <c:f>'3.재무성과분석_성과분석(수입비용현황2)'!$I$57</c:f>
              <c:strCache>
                <c:ptCount val="1"/>
                <c:pt idx="0">
                  <c:v>3월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'3.재무성과분석_성과분석(수입비용현황2)'!$F$58:$F$62</c:f>
              <c:strCache>
                <c:ptCount val="5"/>
                <c:pt idx="0">
                  <c:v>Income</c:v>
                </c:pt>
                <c:pt idx="1">
                  <c:v>Expense</c:v>
                </c:pt>
                <c:pt idx="2">
                  <c:v>NOI</c:v>
                </c:pt>
                <c:pt idx="3">
                  <c:v>CAPEX</c:v>
                </c:pt>
                <c:pt idx="4">
                  <c:v>Cash Flow</c:v>
                </c:pt>
              </c:strCache>
            </c:strRef>
          </c:cat>
          <c:val>
            <c:numRef>
              <c:f>'3.재무성과분석_성과분석(수입비용현황2)'!$I$58:$I$62</c:f>
              <c:numCache>
                <c:formatCode>_(* #,##0_);_(* \(#,##0\);_(* "-"_);_(@_)</c:formatCode>
                <c:ptCount val="5"/>
                <c:pt idx="0">
                  <c:v>1181463826</c:v>
                </c:pt>
                <c:pt idx="1">
                  <c:v>1350091727</c:v>
                </c:pt>
                <c:pt idx="2">
                  <c:v>1165786947</c:v>
                </c:pt>
                <c:pt idx="3">
                  <c:v>0</c:v>
                </c:pt>
                <c:pt idx="4">
                  <c:v>1165786947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A59-4E24-878F-62C2AA56C6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6766552"/>
        <c:axId val="196770080"/>
      </c:barChart>
      <c:catAx>
        <c:axId val="196766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6770080"/>
        <c:crossesAt val="0"/>
        <c:auto val="1"/>
        <c:lblAlgn val="ctr"/>
        <c:lblOffset val="100"/>
        <c:noMultiLvlLbl val="0"/>
      </c:catAx>
      <c:valAx>
        <c:axId val="196770080"/>
        <c:scaling>
          <c:orientation val="minMax"/>
          <c:max val="25000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6766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9465344609701564"/>
          <c:y val="0.16431217284280142"/>
          <c:w val="0.34281199659131162"/>
          <c:h val="6.355976689354508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sz="1400" b="0" i="0" baseline="0">
                <a:effectLst/>
              </a:rPr>
              <a:t>24. Q1</a:t>
            </a:r>
            <a:endParaRPr lang="ko-KR" altLang="ko-KR" sz="1100">
              <a:effectLst/>
            </a:endParaRPr>
          </a:p>
        </c:rich>
      </c:tx>
      <c:layout>
        <c:manualLayout>
          <c:xMode val="edge"/>
          <c:yMode val="edge"/>
          <c:x val="6.0413099273158938E-2"/>
          <c:y val="7.90960451977401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4287994160417772"/>
          <c:y val="0.25314500941619583"/>
          <c:w val="0.72727991852571439"/>
          <c:h val="0.6599495825733647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'3.재무성과분석_성과분석(수입비용현황2)'!$L$57</c:f>
              <c:strCache>
                <c:ptCount val="1"/>
                <c:pt idx="0">
                  <c:v>4월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'3.재무성과분석_성과분석(수입비용현황2)'!$K$58:$K$62</c:f>
              <c:strCache>
                <c:ptCount val="5"/>
                <c:pt idx="0">
                  <c:v>Income</c:v>
                </c:pt>
                <c:pt idx="1">
                  <c:v>Expense</c:v>
                </c:pt>
                <c:pt idx="2">
                  <c:v>NOI</c:v>
                </c:pt>
                <c:pt idx="3">
                  <c:v>CAPEX</c:v>
                </c:pt>
                <c:pt idx="4">
                  <c:v>Cash Flow</c:v>
                </c:pt>
              </c:strCache>
            </c:strRef>
          </c:cat>
          <c:val>
            <c:numRef>
              <c:f>'3.재무성과분석_성과분석(수입비용현황2)'!$L$58:$L$62</c:f>
              <c:numCache>
                <c:formatCode>_(* #,##0_);_(* \(#,##0\);_(* "-"_);_(@_)</c:formatCode>
                <c:ptCount val="5"/>
                <c:pt idx="0">
                  <c:v>1007004751</c:v>
                </c:pt>
                <c:pt idx="1">
                  <c:v>1075152994</c:v>
                </c:pt>
                <c:pt idx="2">
                  <c:v>886324318</c:v>
                </c:pt>
                <c:pt idx="3">
                  <c:v>0</c:v>
                </c:pt>
                <c:pt idx="4">
                  <c:v>886324318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6EA-48E6-ACE1-71E18245A8A3}"/>
            </c:ext>
          </c:extLst>
        </c:ser>
        <c:ser>
          <c:idx val="1"/>
          <c:order val="1"/>
          <c:tx>
            <c:strRef>
              <c:f>'3.재무성과분석_성과분석(수입비용현황2)'!$M$57</c:f>
              <c:strCache>
                <c:ptCount val="1"/>
                <c:pt idx="0">
                  <c:v>5월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'3.재무성과분석_성과분석(수입비용현황2)'!$K$58:$K$62</c:f>
              <c:strCache>
                <c:ptCount val="5"/>
                <c:pt idx="0">
                  <c:v>Income</c:v>
                </c:pt>
                <c:pt idx="1">
                  <c:v>Expense</c:v>
                </c:pt>
                <c:pt idx="2">
                  <c:v>NOI</c:v>
                </c:pt>
                <c:pt idx="3">
                  <c:v>CAPEX</c:v>
                </c:pt>
                <c:pt idx="4">
                  <c:v>Cash Flow</c:v>
                </c:pt>
              </c:strCache>
            </c:strRef>
          </c:cat>
          <c:val>
            <c:numRef>
              <c:f>'3.재무성과분석_성과분석(수입비용현황2)'!$M$58:$M$62</c:f>
              <c:numCache>
                <c:formatCode>_(* #,##0_);_(* \(#,##0\);_(* "-"_);_(@_)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6EA-48E6-ACE1-71E18245A8A3}"/>
            </c:ext>
          </c:extLst>
        </c:ser>
        <c:ser>
          <c:idx val="2"/>
          <c:order val="2"/>
          <c:tx>
            <c:strRef>
              <c:f>'3.재무성과분석_성과분석(수입비용현황2)'!$N$57</c:f>
              <c:strCache>
                <c:ptCount val="1"/>
                <c:pt idx="0">
                  <c:v>6월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'3.재무성과분석_성과분석(수입비용현황2)'!$K$58:$K$62</c:f>
              <c:strCache>
                <c:ptCount val="5"/>
                <c:pt idx="0">
                  <c:v>Income</c:v>
                </c:pt>
                <c:pt idx="1">
                  <c:v>Expense</c:v>
                </c:pt>
                <c:pt idx="2">
                  <c:v>NOI</c:v>
                </c:pt>
                <c:pt idx="3">
                  <c:v>CAPEX</c:v>
                </c:pt>
                <c:pt idx="4">
                  <c:v>Cash Flow</c:v>
                </c:pt>
              </c:strCache>
            </c:strRef>
          </c:cat>
          <c:val>
            <c:numRef>
              <c:f>'3.재무성과분석_성과분석(수입비용현황2)'!$N$58:$N$62</c:f>
              <c:numCache>
                <c:formatCode>_(* #,##0_);_(* \(#,##0\);_(* "-"_);_(@_)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6EA-48E6-ACE1-71E18245A8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8093096"/>
        <c:axId val="198094664"/>
      </c:barChart>
      <c:catAx>
        <c:axId val="198093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094664"/>
        <c:crosses val="autoZero"/>
        <c:auto val="1"/>
        <c:lblAlgn val="ctr"/>
        <c:lblOffset val="100"/>
        <c:noMultiLvlLbl val="0"/>
      </c:catAx>
      <c:valAx>
        <c:axId val="198094664"/>
        <c:scaling>
          <c:orientation val="minMax"/>
          <c:max val="25000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093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47279991624919626"/>
          <c:y val="0.14171330278630428"/>
          <c:w val="0.27985900207575637"/>
          <c:h val="6.355976689354508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444667622599695"/>
          <c:y val="0.22601812854788503"/>
          <c:w val="0.88814042619608269"/>
          <c:h val="0.64157938106573886"/>
        </c:manualLayout>
      </c:layout>
      <c:barChart>
        <c:barDir val="col"/>
        <c:grouping val="clustered"/>
        <c:varyColors val="0"/>
        <c:ser>
          <c:idx val="4"/>
          <c:order val="4"/>
          <c:tx>
            <c:strRef>
              <c:f>'4-3) 수도광열비 분석'!$B$37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'4-3) 수도광열비 분석'!$C$32:$N$32</c:f>
              <c:strCache>
                <c:ptCount val="12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  <c:pt idx="10">
                  <c:v>11월</c:v>
                </c:pt>
                <c:pt idx="11">
                  <c:v>12월</c:v>
                </c:pt>
              </c:strCache>
            </c:strRef>
          </c:cat>
          <c:val>
            <c:numRef>
              <c:f>'4-3) 수도광열비 분석'!$C$37:$N$37</c:f>
              <c:numCache>
                <c:formatCode>_(* #,##0_);_(* \(#,##0\);_(* "-"_);_(@_)</c:formatCode>
                <c:ptCount val="12"/>
                <c:pt idx="0">
                  <c:v>101872574</c:v>
                </c:pt>
                <c:pt idx="1">
                  <c:v>94860488</c:v>
                </c:pt>
                <c:pt idx="2">
                  <c:v>68315322</c:v>
                </c:pt>
                <c:pt idx="3">
                  <c:v>71797993</c:v>
                </c:pt>
                <c:pt idx="4">
                  <c:v>89648668</c:v>
                </c:pt>
                <c:pt idx="5">
                  <c:v>129868539</c:v>
                </c:pt>
                <c:pt idx="6">
                  <c:v>159579270</c:v>
                </c:pt>
                <c:pt idx="7">
                  <c:v>159361232</c:v>
                </c:pt>
                <c:pt idx="8">
                  <c:v>109134726</c:v>
                </c:pt>
                <c:pt idx="9">
                  <c:v>84849333</c:v>
                </c:pt>
                <c:pt idx="10">
                  <c:v>96615826</c:v>
                </c:pt>
                <c:pt idx="11">
                  <c:v>129460359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73B-4B9D-BA9A-901EB2E8FF87}"/>
            </c:ext>
          </c:extLst>
        </c:ser>
        <c:ser>
          <c:idx val="5"/>
          <c:order val="5"/>
          <c:tx>
            <c:strRef>
              <c:f>'4-3) 수도광열비 분석'!$B$38</c:f>
              <c:strCache>
                <c:ptCount val="1"/>
                <c:pt idx="0">
                  <c:v>2023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'4-3) 수도광열비 분석'!$C$32:$N$32</c:f>
              <c:strCache>
                <c:ptCount val="12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  <c:pt idx="10">
                  <c:v>11월</c:v>
                </c:pt>
                <c:pt idx="11">
                  <c:v>12월</c:v>
                </c:pt>
              </c:strCache>
            </c:strRef>
          </c:cat>
          <c:val>
            <c:numRef>
              <c:f>'4-3) 수도광열비 분석'!$C$38:$N$38</c:f>
              <c:numCache>
                <c:formatCode>_(* #,##0_);_(* \(#,##0\);_(* "-"_);_(@_)</c:formatCode>
                <c:ptCount val="12"/>
                <c:pt idx="0">
                  <c:v>135467512</c:v>
                </c:pt>
                <c:pt idx="1">
                  <c:v>120602167</c:v>
                </c:pt>
                <c:pt idx="2">
                  <c:v>94007790</c:v>
                </c:pt>
                <c:pt idx="3">
                  <c:v>92145400</c:v>
                </c:pt>
                <c:pt idx="4">
                  <c:v>122518541</c:v>
                </c:pt>
                <c:pt idx="5">
                  <c:v>183973642</c:v>
                </c:pt>
                <c:pt idx="6">
                  <c:v>208974763</c:v>
                </c:pt>
                <c:pt idx="7">
                  <c:v>214956549</c:v>
                </c:pt>
                <c:pt idx="8">
                  <c:v>155118303</c:v>
                </c:pt>
                <c:pt idx="9">
                  <c:v>99787821</c:v>
                </c:pt>
                <c:pt idx="10">
                  <c:v>122216515</c:v>
                </c:pt>
                <c:pt idx="11">
                  <c:v>142681465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73B-4B9D-BA9A-901EB2E8FF87}"/>
            </c:ext>
          </c:extLst>
        </c:ser>
        <c:ser>
          <c:idx val="6"/>
          <c:order val="6"/>
          <c:tx>
            <c:strRef>
              <c:f>'4-3) 수도광열비 분석'!$B$39</c:f>
              <c:strCache>
                <c:ptCount val="1"/>
                <c:pt idx="0">
                  <c:v>2024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'4-3) 수도광열비 분석'!$C$32:$N$32</c:f>
              <c:strCache>
                <c:ptCount val="12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  <c:pt idx="10">
                  <c:v>11월</c:v>
                </c:pt>
                <c:pt idx="11">
                  <c:v>12월</c:v>
                </c:pt>
              </c:strCache>
            </c:strRef>
          </c:cat>
          <c:val>
            <c:numRef>
              <c:f>'4-3) 수도광열비 분석'!$C$39:$M$39</c:f>
              <c:numCache>
                <c:formatCode>_(* #,##0_);_(* \(#,##0\);_(* "-"_);_(@_)</c:formatCode>
                <c:ptCount val="11"/>
                <c:pt idx="0">
                  <c:v>141003549</c:v>
                </c:pt>
                <c:pt idx="1">
                  <c:v>118167503</c:v>
                </c:pt>
                <c:pt idx="2">
                  <c:v>98594813</c:v>
                </c:pt>
                <c:pt idx="3">
                  <c:v>93982325</c:v>
                </c:pt>
                <c:pt idx="4">
                  <c:v>93982325</c:v>
                </c:pt>
                <c:pt idx="5">
                  <c:v>139550873</c:v>
                </c:pt>
                <c:pt idx="6">
                  <c:v>157166923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E73B-4B9D-BA9A-901EB2E8FF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8093488"/>
        <c:axId val="19809192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v>2017</c:v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112431637</c:v>
                    </c:pt>
                    <c:pt idx="1">
                      <c:v>108032271</c:v>
                    </c:pt>
                    <c:pt idx="2">
                      <c:v>86965971</c:v>
                    </c:pt>
                    <c:pt idx="3">
                      <c:v>90689705</c:v>
                    </c:pt>
                    <c:pt idx="4">
                      <c:v>109570535</c:v>
                    </c:pt>
                    <c:pt idx="5">
                      <c:v>156892841</c:v>
                    </c:pt>
                    <c:pt idx="6">
                      <c:v>176710100</c:v>
                    </c:pt>
                    <c:pt idx="7">
                      <c:v>170965333</c:v>
                    </c:pt>
                    <c:pt idx="8">
                      <c:v>117562582</c:v>
                    </c:pt>
                    <c:pt idx="9">
                      <c:v>89031600</c:v>
                    </c:pt>
                    <c:pt idx="10">
                      <c:v>102394339</c:v>
                    </c:pt>
                    <c:pt idx="11">
                      <c:v>108981730</c:v>
                    </c:pt>
                  </c:numLit>
                </c:val>
                <c:extLst>
                  <c:ext xmlns:c16="http://schemas.microsoft.com/office/drawing/2014/chart" uri="{C3380CC4-5D6E-409C-BE32-E72D297353CC}">
                    <c16:uniqueId val="{00000000-E73B-4B9D-BA9A-901EB2E8FF87}"/>
                  </c:ext>
                </c:extLst>
              </c15:ser>
            </c15:filteredBarSeries>
            <c15:filteredBarSeries>
              <c15:ser>
                <c:idx val="1"/>
                <c:order val="1"/>
                <c:tx>
                  <c:v>2018</c:v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113774492</c:v>
                    </c:pt>
                    <c:pt idx="1">
                      <c:v>102147390</c:v>
                    </c:pt>
                    <c:pt idx="2">
                      <c:v>79997104</c:v>
                    </c:pt>
                    <c:pt idx="3">
                      <c:v>80209156</c:v>
                    </c:pt>
                    <c:pt idx="4">
                      <c:v>96685743</c:v>
                    </c:pt>
                    <c:pt idx="5">
                      <c:v>137479385</c:v>
                    </c:pt>
                    <c:pt idx="6">
                      <c:v>161269244</c:v>
                    </c:pt>
                    <c:pt idx="7">
                      <c:v>161582929</c:v>
                    </c:pt>
                    <c:pt idx="8">
                      <c:v>94139379</c:v>
                    </c:pt>
                    <c:pt idx="9">
                      <c:v>74932259</c:v>
                    </c:pt>
                    <c:pt idx="10">
                      <c:v>87359241</c:v>
                    </c:pt>
                    <c:pt idx="11">
                      <c:v>95500152</c:v>
                    </c:pt>
                  </c:numLit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E73B-4B9D-BA9A-901EB2E8FF87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v>2019</c:v>
                </c:tx>
                <c:spPr>
                  <a:solidFill>
                    <a:schemeClr val="accent3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100417825</c:v>
                    </c:pt>
                    <c:pt idx="1">
                      <c:v>84948921</c:v>
                    </c:pt>
                    <c:pt idx="2">
                      <c:v>70555611</c:v>
                    </c:pt>
                    <c:pt idx="3">
                      <c:v>69308067</c:v>
                    </c:pt>
                    <c:pt idx="4">
                      <c:v>91554992</c:v>
                    </c:pt>
                    <c:pt idx="5">
                      <c:v>126462077</c:v>
                    </c:pt>
                    <c:pt idx="6">
                      <c:v>147628439</c:v>
                    </c:pt>
                    <c:pt idx="7">
                      <c:v>147296736.17333832</c:v>
                    </c:pt>
                    <c:pt idx="8">
                      <c:v>98102160.84465313</c:v>
                    </c:pt>
                    <c:pt idx="9">
                      <c:v>77069654.129166633</c:v>
                    </c:pt>
                    <c:pt idx="10">
                      <c:v>84691169.796771899</c:v>
                    </c:pt>
                    <c:pt idx="11">
                      <c:v>92731367.774984494</c:v>
                    </c:pt>
                  </c:numLit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E73B-4B9D-BA9A-901EB2E8FF87}"/>
                  </c:ext>
                </c:extLst>
              </c15:ser>
            </c15:filteredBarSeries>
            <c15:filteredBarSeries>
              <c15:ser>
                <c:idx val="3"/>
                <c:order val="3"/>
                <c:tx>
                  <c:v>2020</c:v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90987054.018450931</c:v>
                    </c:pt>
                    <c:pt idx="1">
                      <c:v>89919651.595928267</c:v>
                    </c:pt>
                    <c:pt idx="2">
                      <c:v>69909467</c:v>
                    </c:pt>
                    <c:pt idx="3">
                      <c:v>64752013.614503272</c:v>
                    </c:pt>
                    <c:pt idx="4">
                      <c:v>82498172.229331031</c:v>
                    </c:pt>
                    <c:pt idx="5">
                      <c:v>127962581.07953751</c:v>
                    </c:pt>
                    <c:pt idx="6">
                      <c:v>143240036</c:v>
                    </c:pt>
                    <c:pt idx="7">
                      <c:v>145335497</c:v>
                    </c:pt>
                    <c:pt idx="8">
                      <c:v>94748824.810668468</c:v>
                    </c:pt>
                    <c:pt idx="9">
                      <c:v>65608455.627077892</c:v>
                    </c:pt>
                    <c:pt idx="10">
                      <c:v>81621090.520475551</c:v>
                    </c:pt>
                    <c:pt idx="11">
                      <c:v>95673789.119461894</c:v>
                    </c:pt>
                  </c:numLit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3B-4B9D-BA9A-901EB2E8FF87}"/>
                  </c:ext>
                </c:extLst>
              </c15:ser>
            </c15:filteredBarSeries>
          </c:ext>
        </c:extLst>
      </c:barChart>
      <c:catAx>
        <c:axId val="198093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091920"/>
        <c:crosses val="autoZero"/>
        <c:auto val="1"/>
        <c:lblAlgn val="ctr"/>
        <c:lblOffset val="100"/>
        <c:noMultiLvlLbl val="0"/>
      </c:catAx>
      <c:valAx>
        <c:axId val="198091920"/>
        <c:scaling>
          <c:orientation val="minMax"/>
        </c:scaling>
        <c:delete val="0"/>
        <c:axPos val="l"/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093488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ayout>
        <c:manualLayout>
          <c:xMode val="edge"/>
          <c:yMode val="edge"/>
          <c:x val="0.91715672534840909"/>
          <c:y val="2.3981871452114997E-2"/>
          <c:w val="5.9681997200376223E-2"/>
          <c:h val="0.231832082036257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4"/>
          <c:order val="4"/>
          <c:tx>
            <c:strRef>
              <c:f>'4-3) 수도광열비 분석'!$B$94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'4-3) 수도광열비 분석'!$C$89:$N$89</c:f>
              <c:strCache>
                <c:ptCount val="12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  <c:pt idx="10">
                  <c:v>11월</c:v>
                </c:pt>
                <c:pt idx="11">
                  <c:v>12월</c:v>
                </c:pt>
              </c:strCache>
            </c:strRef>
          </c:cat>
          <c:val>
            <c:numRef>
              <c:f>'4-3) 수도광열비 분석'!$C$94:$N$94</c:f>
              <c:numCache>
                <c:formatCode>_(* #,##0_);_(* \(#,##0\);_(* "-"_);_(@_)</c:formatCode>
                <c:ptCount val="12"/>
                <c:pt idx="0">
                  <c:v>1118797</c:v>
                </c:pt>
                <c:pt idx="1">
                  <c:v>1054804</c:v>
                </c:pt>
                <c:pt idx="2">
                  <c:v>934808</c:v>
                </c:pt>
                <c:pt idx="3">
                  <c:v>1097916</c:v>
                </c:pt>
                <c:pt idx="4">
                  <c:v>1269877</c:v>
                </c:pt>
                <c:pt idx="5">
                  <c:v>1323586</c:v>
                </c:pt>
                <c:pt idx="6">
                  <c:v>1478200</c:v>
                </c:pt>
                <c:pt idx="7">
                  <c:v>1661259</c:v>
                </c:pt>
                <c:pt idx="8">
                  <c:v>1185905</c:v>
                </c:pt>
                <c:pt idx="9">
                  <c:v>1092897</c:v>
                </c:pt>
                <c:pt idx="10">
                  <c:v>985773</c:v>
                </c:pt>
                <c:pt idx="11">
                  <c:v>976931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F3C-4E6C-88F0-1DD939D101D5}"/>
            </c:ext>
          </c:extLst>
        </c:ser>
        <c:ser>
          <c:idx val="5"/>
          <c:order val="5"/>
          <c:tx>
            <c:strRef>
              <c:f>'4-3) 수도광열비 분석'!$B$95</c:f>
              <c:strCache>
                <c:ptCount val="1"/>
                <c:pt idx="0">
                  <c:v>2023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'4-3) 수도광열비 분석'!$C$89:$N$89</c:f>
              <c:strCache>
                <c:ptCount val="12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  <c:pt idx="10">
                  <c:v>11월</c:v>
                </c:pt>
                <c:pt idx="11">
                  <c:v>12월</c:v>
                </c:pt>
              </c:strCache>
            </c:strRef>
          </c:cat>
          <c:val>
            <c:numRef>
              <c:f>'4-3) 수도광열비 분석'!$C$95:$N$95</c:f>
              <c:numCache>
                <c:formatCode>_(* #,##0_);_(* \(#,##0\);_(* "-"_);_(@_)</c:formatCode>
                <c:ptCount val="12"/>
                <c:pt idx="0">
                  <c:v>1128232</c:v>
                </c:pt>
                <c:pt idx="1">
                  <c:v>865516</c:v>
                </c:pt>
                <c:pt idx="2">
                  <c:v>1099333</c:v>
                </c:pt>
                <c:pt idx="3">
                  <c:v>1129160</c:v>
                </c:pt>
                <c:pt idx="4">
                  <c:v>1277188</c:v>
                </c:pt>
                <c:pt idx="5">
                  <c:v>1406150</c:v>
                </c:pt>
                <c:pt idx="6">
                  <c:v>1398895</c:v>
                </c:pt>
                <c:pt idx="7">
                  <c:v>1710048</c:v>
                </c:pt>
                <c:pt idx="8">
                  <c:v>1489392</c:v>
                </c:pt>
                <c:pt idx="9">
                  <c:v>1317546</c:v>
                </c:pt>
                <c:pt idx="10">
                  <c:v>1242249</c:v>
                </c:pt>
                <c:pt idx="11">
                  <c:v>937850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F3C-4E6C-88F0-1DD939D101D5}"/>
            </c:ext>
          </c:extLst>
        </c:ser>
        <c:ser>
          <c:idx val="6"/>
          <c:order val="6"/>
          <c:tx>
            <c:strRef>
              <c:f>'4-3) 수도광열비 분석'!$B$96</c:f>
              <c:strCache>
                <c:ptCount val="1"/>
                <c:pt idx="0">
                  <c:v>2024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'4-3) 수도광열비 분석'!$C$89:$N$89</c:f>
              <c:strCache>
                <c:ptCount val="12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  <c:pt idx="10">
                  <c:v>11월</c:v>
                </c:pt>
                <c:pt idx="11">
                  <c:v>12월</c:v>
                </c:pt>
              </c:strCache>
            </c:strRef>
          </c:cat>
          <c:val>
            <c:numRef>
              <c:f>'4-3) 수도광열비 분석'!$C$96:$N$96</c:f>
              <c:numCache>
                <c:formatCode>_(* #,##0_);_(* \(#,##0\);_(* "-"_);_(@_)</c:formatCode>
                <c:ptCount val="12"/>
                <c:pt idx="0">
                  <c:v>1019254</c:v>
                </c:pt>
                <c:pt idx="1">
                  <c:v>989379</c:v>
                </c:pt>
                <c:pt idx="2">
                  <c:v>1139708</c:v>
                </c:pt>
                <c:pt idx="3">
                  <c:v>1251594</c:v>
                </c:pt>
                <c:pt idx="4">
                  <c:v>1228528</c:v>
                </c:pt>
                <c:pt idx="5">
                  <c:v>1439320</c:v>
                </c:pt>
                <c:pt idx="6">
                  <c:v>1502905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AF3C-4E6C-88F0-1DD939D101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8088392"/>
        <c:axId val="198090352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v>2017</c:v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793029</c:v>
                    </c:pt>
                    <c:pt idx="1">
                      <c:v>748243</c:v>
                    </c:pt>
                    <c:pt idx="2">
                      <c:v>862440</c:v>
                    </c:pt>
                    <c:pt idx="3">
                      <c:v>878639</c:v>
                    </c:pt>
                    <c:pt idx="4">
                      <c:v>914520</c:v>
                    </c:pt>
                    <c:pt idx="5">
                      <c:v>938527</c:v>
                    </c:pt>
                    <c:pt idx="6">
                      <c:v>955115</c:v>
                    </c:pt>
                    <c:pt idx="7">
                      <c:v>881459</c:v>
                    </c:pt>
                    <c:pt idx="8">
                      <c:v>831128</c:v>
                    </c:pt>
                    <c:pt idx="9">
                      <c:v>831128</c:v>
                    </c:pt>
                    <c:pt idx="10">
                      <c:v>817382</c:v>
                    </c:pt>
                    <c:pt idx="11">
                      <c:v>747108</c:v>
                    </c:pt>
                  </c:numLit>
                </c:val>
                <c:extLst>
                  <c:ext xmlns:c16="http://schemas.microsoft.com/office/drawing/2014/chart" uri="{C3380CC4-5D6E-409C-BE32-E72D297353CC}">
                    <c16:uniqueId val="{00000000-AF3C-4E6C-88F0-1DD939D101D5}"/>
                  </c:ext>
                </c:extLst>
              </c15:ser>
            </c15:filteredBarSeries>
            <c15:filteredBarSeries>
              <c15:ser>
                <c:idx val="1"/>
                <c:order val="1"/>
                <c:tx>
                  <c:v>2018</c:v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929031</c:v>
                    </c:pt>
                    <c:pt idx="1">
                      <c:v>731727</c:v>
                    </c:pt>
                    <c:pt idx="2">
                      <c:v>862507</c:v>
                    </c:pt>
                    <c:pt idx="3">
                      <c:v>891512</c:v>
                    </c:pt>
                    <c:pt idx="4">
                      <c:v>921196</c:v>
                    </c:pt>
                    <c:pt idx="5">
                      <c:v>919354</c:v>
                    </c:pt>
                    <c:pt idx="6">
                      <c:v>1291718</c:v>
                    </c:pt>
                    <c:pt idx="7">
                      <c:v>1491158</c:v>
                    </c:pt>
                    <c:pt idx="8">
                      <c:v>1025770</c:v>
                    </c:pt>
                    <c:pt idx="9">
                      <c:v>1035570</c:v>
                    </c:pt>
                    <c:pt idx="10">
                      <c:v>988666</c:v>
                    </c:pt>
                    <c:pt idx="11">
                      <c:v>1069632</c:v>
                    </c:pt>
                  </c:numLit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AF3C-4E6C-88F0-1DD939D101D5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v>2019</c:v>
                </c:tx>
                <c:spPr>
                  <a:solidFill>
                    <a:schemeClr val="accent3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1137648</c:v>
                    </c:pt>
                    <c:pt idx="1">
                      <c:v>955201</c:v>
                    </c:pt>
                    <c:pt idx="2">
                      <c:v>1077523</c:v>
                    </c:pt>
                    <c:pt idx="3">
                      <c:v>1102178</c:v>
                    </c:pt>
                    <c:pt idx="4">
                      <c:v>1348097</c:v>
                    </c:pt>
                    <c:pt idx="5">
                      <c:v>1467547</c:v>
                    </c:pt>
                    <c:pt idx="6">
                      <c:v>1647590</c:v>
                    </c:pt>
                    <c:pt idx="7">
                      <c:v>1632095.6838253231</c:v>
                    </c:pt>
                    <c:pt idx="8">
                      <c:v>1401928.8265728478</c:v>
                    </c:pt>
                    <c:pt idx="9">
                      <c:v>1410730.2991428734</c:v>
                    </c:pt>
                    <c:pt idx="10">
                      <c:v>1220080.308425243</c:v>
                    </c:pt>
                    <c:pt idx="11">
                      <c:v>1408132</c:v>
                    </c:pt>
                  </c:numLit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AF3C-4E6C-88F0-1DD939D101D5}"/>
                  </c:ext>
                </c:extLst>
              </c15:ser>
            </c15:filteredBarSeries>
            <c15:filteredBarSeries>
              <c15:ser>
                <c:idx val="3"/>
                <c:order val="3"/>
                <c:tx>
                  <c:v>2020</c:v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1342775</c:v>
                    </c:pt>
                    <c:pt idx="1">
                      <c:v>1020700</c:v>
                    </c:pt>
                    <c:pt idx="2">
                      <c:v>983154</c:v>
                    </c:pt>
                    <c:pt idx="3">
                      <c:v>993756.11859361921</c:v>
                    </c:pt>
                    <c:pt idx="4">
                      <c:v>1143620</c:v>
                    </c:pt>
                    <c:pt idx="5">
                      <c:v>1294091.338126289</c:v>
                    </c:pt>
                    <c:pt idx="6">
                      <c:v>1446681</c:v>
                    </c:pt>
                    <c:pt idx="7">
                      <c:v>1281202</c:v>
                    </c:pt>
                    <c:pt idx="8">
                      <c:v>1246402.9912778737</c:v>
                    </c:pt>
                    <c:pt idx="9">
                      <c:v>1037498.5325148667</c:v>
                    </c:pt>
                    <c:pt idx="10">
                      <c:v>960392.17166770541</c:v>
                    </c:pt>
                    <c:pt idx="11">
                      <c:v>995789.70379974064</c:v>
                    </c:pt>
                  </c:numLit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AF3C-4E6C-88F0-1DD939D101D5}"/>
                  </c:ext>
                </c:extLst>
              </c15:ser>
            </c15:filteredBarSeries>
          </c:ext>
        </c:extLst>
      </c:barChart>
      <c:catAx>
        <c:axId val="198088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090352"/>
        <c:crosses val="autoZero"/>
        <c:auto val="1"/>
        <c:lblAlgn val="ctr"/>
        <c:lblOffset val="100"/>
        <c:noMultiLvlLbl val="0"/>
      </c:catAx>
      <c:valAx>
        <c:axId val="198090352"/>
        <c:scaling>
          <c:orientation val="minMax"/>
        </c:scaling>
        <c:delete val="0"/>
        <c:axPos val="l"/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088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91864166449814355"/>
          <c:y val="6.8322981366459631E-2"/>
          <c:w val="6.3745853985217801E-2"/>
          <c:h val="0.2290380006846970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4"/>
          <c:order val="4"/>
          <c:tx>
            <c:strRef>
              <c:f>'4-3) 수도광열비 분석'!$B$150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'4-3) 수도광열비 분석'!$C$145:$N$145</c:f>
              <c:strCache>
                <c:ptCount val="12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  <c:pt idx="10">
                  <c:v>11월</c:v>
                </c:pt>
                <c:pt idx="11">
                  <c:v>12월</c:v>
                </c:pt>
              </c:strCache>
            </c:strRef>
          </c:cat>
          <c:val>
            <c:numRef>
              <c:f>'4-3) 수도광열비 분석'!$C$150:$N$150</c:f>
              <c:numCache>
                <c:formatCode>_(* #,##0_);_(* \(#,##0\);_(* "-"_);_(@_)</c:formatCode>
                <c:ptCount val="12"/>
                <c:pt idx="0">
                  <c:v>32575884</c:v>
                </c:pt>
                <c:pt idx="1">
                  <c:v>32683635</c:v>
                </c:pt>
                <c:pt idx="2">
                  <c:v>11650451</c:v>
                </c:pt>
                <c:pt idx="3">
                  <c:v>277284</c:v>
                </c:pt>
                <c:pt idx="4">
                  <c:v>196126</c:v>
                </c:pt>
                <c:pt idx="5">
                  <c:v>184809</c:v>
                </c:pt>
                <c:pt idx="6">
                  <c:v>179984</c:v>
                </c:pt>
                <c:pt idx="7">
                  <c:v>216639</c:v>
                </c:pt>
                <c:pt idx="8">
                  <c:v>179074</c:v>
                </c:pt>
                <c:pt idx="9">
                  <c:v>428725</c:v>
                </c:pt>
                <c:pt idx="10">
                  <c:v>5124490</c:v>
                </c:pt>
                <c:pt idx="11">
                  <c:v>49862495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E78-499B-AF5D-D637F4101C44}"/>
            </c:ext>
          </c:extLst>
        </c:ser>
        <c:ser>
          <c:idx val="5"/>
          <c:order val="5"/>
          <c:tx>
            <c:strRef>
              <c:f>'4-3) 수도광열비 분석'!$B$151</c:f>
              <c:strCache>
                <c:ptCount val="1"/>
                <c:pt idx="0">
                  <c:v>2023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'4-3) 수도광열비 분석'!$C$145:$N$145</c:f>
              <c:strCache>
                <c:ptCount val="12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  <c:pt idx="10">
                  <c:v>11월</c:v>
                </c:pt>
                <c:pt idx="11">
                  <c:v>12월</c:v>
                </c:pt>
              </c:strCache>
            </c:strRef>
          </c:cat>
          <c:val>
            <c:numRef>
              <c:f>'4-3) 수도광열비 분석'!$C$151:$N$151</c:f>
              <c:numCache>
                <c:formatCode>_(* #,##0_);_(* \(#,##0\);_(* "-"_);_(@_)</c:formatCode>
                <c:ptCount val="12"/>
                <c:pt idx="0">
                  <c:v>46274772</c:v>
                </c:pt>
                <c:pt idx="1">
                  <c:v>29718131</c:v>
                </c:pt>
                <c:pt idx="2">
                  <c:v>10397881</c:v>
                </c:pt>
                <c:pt idx="3">
                  <c:v>211750</c:v>
                </c:pt>
                <c:pt idx="4">
                  <c:v>223400</c:v>
                </c:pt>
                <c:pt idx="5">
                  <c:v>4643322</c:v>
                </c:pt>
                <c:pt idx="6">
                  <c:v>157924</c:v>
                </c:pt>
                <c:pt idx="7">
                  <c:v>110455</c:v>
                </c:pt>
                <c:pt idx="8">
                  <c:v>81193</c:v>
                </c:pt>
                <c:pt idx="9">
                  <c:v>145500</c:v>
                </c:pt>
                <c:pt idx="10">
                  <c:v>10356778</c:v>
                </c:pt>
                <c:pt idx="11">
                  <c:v>22188062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E78-499B-AF5D-D637F4101C44}"/>
            </c:ext>
          </c:extLst>
        </c:ser>
        <c:ser>
          <c:idx val="6"/>
          <c:order val="6"/>
          <c:tx>
            <c:strRef>
              <c:f>'4-3) 수도광열비 분석'!$B$152</c:f>
              <c:strCache>
                <c:ptCount val="1"/>
                <c:pt idx="0">
                  <c:v>2024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'4-3) 수도광열비 분석'!$C$145:$N$145</c:f>
              <c:strCache>
                <c:ptCount val="12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  <c:pt idx="10">
                  <c:v>11월</c:v>
                </c:pt>
                <c:pt idx="11">
                  <c:v>12월</c:v>
                </c:pt>
              </c:strCache>
            </c:strRef>
          </c:cat>
          <c:val>
            <c:numRef>
              <c:f>'4-3) 수도광열비 분석'!$C$152:$N$152</c:f>
              <c:numCache>
                <c:formatCode>_(* #,##0_);_(* \(#,##0\);_(* "-"_);_(@_)</c:formatCode>
                <c:ptCount val="12"/>
                <c:pt idx="0">
                  <c:v>32162298</c:v>
                </c:pt>
                <c:pt idx="1">
                  <c:v>18448409</c:v>
                </c:pt>
                <c:pt idx="2">
                  <c:v>12465850</c:v>
                </c:pt>
                <c:pt idx="3">
                  <c:v>-47815</c:v>
                </c:pt>
                <c:pt idx="4">
                  <c:v>371149</c:v>
                </c:pt>
                <c:pt idx="5">
                  <c:v>11370152</c:v>
                </c:pt>
                <c:pt idx="6">
                  <c:v>235975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E78-499B-AF5D-D637F4101C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8087216"/>
        <c:axId val="19808800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v>2017</c:v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25438212</c:v>
                    </c:pt>
                    <c:pt idx="1">
                      <c:v>22871880</c:v>
                    </c:pt>
                    <c:pt idx="2">
                      <c:v>9715288</c:v>
                    </c:pt>
                    <c:pt idx="3">
                      <c:v>68252</c:v>
                    </c:pt>
                    <c:pt idx="4">
                      <c:v>0</c:v>
                    </c:pt>
                    <c:pt idx="5">
                      <c:v>0</c:v>
                    </c:pt>
                    <c:pt idx="6">
                      <c:v>0</c:v>
                    </c:pt>
                    <c:pt idx="7">
                      <c:v>113438</c:v>
                    </c:pt>
                    <c:pt idx="8">
                      <c:v>98313</c:v>
                    </c:pt>
                    <c:pt idx="9">
                      <c:v>46111</c:v>
                    </c:pt>
                    <c:pt idx="10">
                      <c:v>10743587</c:v>
                    </c:pt>
                    <c:pt idx="11">
                      <c:v>31183028</c:v>
                    </c:pt>
                  </c:numLit>
                </c:val>
                <c:extLst>
                  <c:ext xmlns:c16="http://schemas.microsoft.com/office/drawing/2014/chart" uri="{C3380CC4-5D6E-409C-BE32-E72D297353CC}">
                    <c16:uniqueId val="{00000000-0E78-499B-AF5D-D637F4101C44}"/>
                  </c:ext>
                </c:extLst>
              </c15:ser>
            </c15:filteredBarSeries>
            <c15:filteredBarSeries>
              <c15:ser>
                <c:idx val="1"/>
                <c:order val="1"/>
                <c:tx>
                  <c:v>2018</c:v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24137862</c:v>
                    </c:pt>
                    <c:pt idx="1">
                      <c:v>23866714</c:v>
                    </c:pt>
                    <c:pt idx="2">
                      <c:v>10103930</c:v>
                    </c:pt>
                    <c:pt idx="3">
                      <c:v>258268</c:v>
                    </c:pt>
                    <c:pt idx="4">
                      <c:v>0</c:v>
                    </c:pt>
                    <c:pt idx="5">
                      <c:v>0</c:v>
                    </c:pt>
                    <c:pt idx="6">
                      <c:v>0</c:v>
                    </c:pt>
                    <c:pt idx="7">
                      <c:v>0</c:v>
                    </c:pt>
                    <c:pt idx="8">
                      <c:v>0</c:v>
                    </c:pt>
                    <c:pt idx="9">
                      <c:v>0</c:v>
                    </c:pt>
                    <c:pt idx="10">
                      <c:v>8711379</c:v>
                    </c:pt>
                    <c:pt idx="11">
                      <c:v>34932344</c:v>
                    </c:pt>
                  </c:numLit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0E78-499B-AF5D-D637F4101C44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v>2019</c:v>
                </c:tx>
                <c:spPr>
                  <a:solidFill>
                    <a:schemeClr val="accent3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21721181</c:v>
                    </c:pt>
                    <c:pt idx="1">
                      <c:v>17072487</c:v>
                    </c:pt>
                    <c:pt idx="2">
                      <c:v>8436544</c:v>
                    </c:pt>
                    <c:pt idx="3">
                      <c:v>2091260</c:v>
                    </c:pt>
                    <c:pt idx="4">
                      <c:v>155090</c:v>
                    </c:pt>
                    <c:pt idx="5">
                      <c:v>109832</c:v>
                    </c:pt>
                    <c:pt idx="6">
                      <c:v>124178</c:v>
                    </c:pt>
                    <c:pt idx="7">
                      <c:v>91946</c:v>
                    </c:pt>
                    <c:pt idx="8">
                      <c:v>123783</c:v>
                    </c:pt>
                    <c:pt idx="9">
                      <c:v>123010</c:v>
                    </c:pt>
                    <c:pt idx="10">
                      <c:v>5961948</c:v>
                    </c:pt>
                    <c:pt idx="11">
                      <c:v>17306294</c:v>
                    </c:pt>
                  </c:numLit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0E78-499B-AF5D-D637F4101C44}"/>
                  </c:ext>
                </c:extLst>
              </c15:ser>
            </c15:filteredBarSeries>
            <c15:filteredBarSeries>
              <c15:ser>
                <c:idx val="3"/>
                <c:order val="3"/>
                <c:tx>
                  <c:v>2020</c:v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strLit>
                    <c:ptCount val="12"/>
                    <c:pt idx="0">
                      <c:v>1월</c:v>
                    </c:pt>
                    <c:pt idx="1">
                      <c:v>2월</c:v>
                    </c:pt>
                    <c:pt idx="2">
                      <c:v>3월</c:v>
                    </c:pt>
                    <c:pt idx="3">
                      <c:v>4월</c:v>
                    </c:pt>
                    <c:pt idx="4">
                      <c:v>5월</c:v>
                    </c:pt>
                    <c:pt idx="5">
                      <c:v>6월</c:v>
                    </c:pt>
                    <c:pt idx="6">
                      <c:v>7월</c:v>
                    </c:pt>
                    <c:pt idx="7">
                      <c:v>8월</c:v>
                    </c:pt>
                    <c:pt idx="8">
                      <c:v>9월</c:v>
                    </c:pt>
                    <c:pt idx="9">
                      <c:v>10월</c:v>
                    </c:pt>
                    <c:pt idx="10">
                      <c:v>11월</c:v>
                    </c:pt>
                    <c:pt idx="11">
                      <c:v>12월</c:v>
                    </c:pt>
                  </c:strLit>
                </c:cat>
                <c:val>
                  <c:numLit>
                    <c:formatCode>General</c:formatCode>
                    <c:ptCount val="12"/>
                    <c:pt idx="0">
                      <c:v>18535991</c:v>
                    </c:pt>
                    <c:pt idx="1">
                      <c:v>15370016</c:v>
                    </c:pt>
                    <c:pt idx="2">
                      <c:v>8018461</c:v>
                    </c:pt>
                    <c:pt idx="3">
                      <c:v>202559</c:v>
                    </c:pt>
                    <c:pt idx="4">
                      <c:v>150702</c:v>
                    </c:pt>
                    <c:pt idx="5">
                      <c:v>124250</c:v>
                    </c:pt>
                    <c:pt idx="6">
                      <c:v>126290</c:v>
                    </c:pt>
                    <c:pt idx="7">
                      <c:v>121489</c:v>
                    </c:pt>
                    <c:pt idx="8">
                      <c:v>120069</c:v>
                    </c:pt>
                    <c:pt idx="9">
                      <c:v>105027</c:v>
                    </c:pt>
                    <c:pt idx="10">
                      <c:v>4300812</c:v>
                    </c:pt>
                    <c:pt idx="11">
                      <c:v>16688477</c:v>
                    </c:pt>
                  </c:numLit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0E78-499B-AF5D-D637F4101C44}"/>
                  </c:ext>
                </c:extLst>
              </c15:ser>
            </c15:filteredBarSeries>
          </c:ext>
        </c:extLst>
      </c:barChart>
      <c:catAx>
        <c:axId val="1980872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088000"/>
        <c:crosses val="autoZero"/>
        <c:auto val="1"/>
        <c:lblAlgn val="ctr"/>
        <c:lblOffset val="100"/>
        <c:noMultiLvlLbl val="0"/>
      </c:catAx>
      <c:valAx>
        <c:axId val="198088000"/>
        <c:scaling>
          <c:orientation val="minMax"/>
        </c:scaling>
        <c:delete val="0"/>
        <c:axPos val="l"/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0872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92344892410264623"/>
          <c:y val="8.1081081081081086E-2"/>
          <c:w val="5.8348477090504419E-2"/>
          <c:h val="0.2423994466907853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3" Type="http://schemas.openxmlformats.org/officeDocument/2006/relationships/image" Target="../media/image4.jpe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chart" Target="../charts/chart1.xml"/><Relationship Id="rId6" Type="http://schemas.openxmlformats.org/officeDocument/2006/relationships/image" Target="../media/image7.jpeg"/><Relationship Id="rId5" Type="http://schemas.openxmlformats.org/officeDocument/2006/relationships/image" Target="../media/image6.png"/><Relationship Id="rId4" Type="http://schemas.openxmlformats.org/officeDocument/2006/relationships/image" Target="../media/image5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3" Type="http://schemas.microsoft.com/office/2007/relationships/hdphoto" Target="../media/hdphoto1.wdp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3" Type="http://schemas.openxmlformats.org/officeDocument/2006/relationships/image" Target="../media/image14.jpeg"/><Relationship Id="rId7" Type="http://schemas.openxmlformats.org/officeDocument/2006/relationships/image" Target="../media/image18.jpeg"/><Relationship Id="rId12" Type="http://schemas.openxmlformats.org/officeDocument/2006/relationships/image" Target="../media/image23.jpeg"/><Relationship Id="rId2" Type="http://schemas.openxmlformats.org/officeDocument/2006/relationships/image" Target="../media/image13.jpeg"/><Relationship Id="rId1" Type="http://schemas.openxmlformats.org/officeDocument/2006/relationships/image" Target="../media/image12.jpeg"/><Relationship Id="rId6" Type="http://schemas.openxmlformats.org/officeDocument/2006/relationships/image" Target="../media/image17.png"/><Relationship Id="rId11" Type="http://schemas.openxmlformats.org/officeDocument/2006/relationships/image" Target="../media/image22.jpeg"/><Relationship Id="rId5" Type="http://schemas.openxmlformats.org/officeDocument/2006/relationships/image" Target="../media/image16.jpeg"/><Relationship Id="rId10" Type="http://schemas.openxmlformats.org/officeDocument/2006/relationships/image" Target="../media/image21.png"/><Relationship Id="rId4" Type="http://schemas.openxmlformats.org/officeDocument/2006/relationships/image" Target="../media/image15.jpeg"/><Relationship Id="rId9" Type="http://schemas.openxmlformats.org/officeDocument/2006/relationships/image" Target="../media/image2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674916</xdr:colOff>
      <xdr:row>5</xdr:row>
      <xdr:rowOff>219075</xdr:rowOff>
    </xdr:from>
    <xdr:to>
      <xdr:col>7</xdr:col>
      <xdr:colOff>261578</xdr:colOff>
      <xdr:row>10</xdr:row>
      <xdr:rowOff>23404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2" y="1307646"/>
          <a:ext cx="3614376" cy="1165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337457</xdr:colOff>
      <xdr:row>10</xdr:row>
      <xdr:rowOff>176731</xdr:rowOff>
    </xdr:from>
    <xdr:to>
      <xdr:col>7</xdr:col>
      <xdr:colOff>595834</xdr:colOff>
      <xdr:row>31</xdr:row>
      <xdr:rowOff>188576</xdr:rowOff>
    </xdr:to>
    <xdr:pic>
      <xdr:nvPicPr>
        <xdr:cNvPr id="5" name="Picture 2">
          <a:extLst>
            <a:ext uri="{FF2B5EF4-FFF2-40B4-BE49-F238E27FC236}">
              <a16:creationId xmlns:a16="http://schemas.microsoft.com/office/drawing/2014/main" id="{F6D5945A-036B-4A50-970A-408FEB39237F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338943" y="2386531"/>
          <a:ext cx="4286091" cy="4627388"/>
        </a:xfrm>
        <a:prstGeom prst="rect">
          <a:avLst/>
        </a:prstGeom>
        <a:noFill/>
        <a:extLst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132</xdr:row>
      <xdr:rowOff>0</xdr:rowOff>
    </xdr:from>
    <xdr:to>
      <xdr:col>9</xdr:col>
      <xdr:colOff>304800</xdr:colOff>
      <xdr:row>133</xdr:row>
      <xdr:rowOff>108858</xdr:rowOff>
    </xdr:to>
    <xdr:sp macro="" textlink="">
      <xdr:nvSpPr>
        <xdr:cNvPr id="2" name="AutoShape 1" descr="view (2372×3430)">
          <a:extLst>
            <a:ext uri="{FF2B5EF4-FFF2-40B4-BE49-F238E27FC236}">
              <a16:creationId xmlns:a16="http://schemas.microsoft.com/office/drawing/2014/main" id="{00000000-0008-0000-1700-000001C40000}"/>
            </a:ext>
          </a:extLst>
        </xdr:cNvPr>
        <xdr:cNvSpPr>
          <a:spLocks noChangeAspect="1" noChangeArrowheads="1"/>
        </xdr:cNvSpPr>
      </xdr:nvSpPr>
      <xdr:spPr bwMode="auto">
        <a:xfrm>
          <a:off x="9220200" y="16411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9</xdr:col>
      <xdr:colOff>0</xdr:colOff>
      <xdr:row>3</xdr:row>
      <xdr:rowOff>0</xdr:rowOff>
    </xdr:from>
    <xdr:to>
      <xdr:col>13</xdr:col>
      <xdr:colOff>1055915</xdr:colOff>
      <xdr:row>96</xdr:row>
      <xdr:rowOff>217715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58400" y="762000"/>
          <a:ext cx="6564086" cy="86214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201706</xdr:rowOff>
    </xdr:from>
    <xdr:to>
      <xdr:col>7</xdr:col>
      <xdr:colOff>1143000</xdr:colOff>
      <xdr:row>13</xdr:row>
      <xdr:rowOff>179295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6D5945A-036B-4A50-970A-408FEB39237F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705475" y="877981"/>
          <a:ext cx="2000250" cy="2073089"/>
        </a:xfrm>
        <a:prstGeom prst="rect">
          <a:avLst/>
        </a:prstGeom>
        <a:noFill/>
        <a:ex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113983</xdr:colOff>
      <xdr:row>24</xdr:row>
      <xdr:rowOff>116332</xdr:rowOff>
    </xdr:from>
    <xdr:to>
      <xdr:col>16</xdr:col>
      <xdr:colOff>38857</xdr:colOff>
      <xdr:row>37</xdr:row>
      <xdr:rowOff>167257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2</xdr:col>
      <xdr:colOff>164645</xdr:colOff>
      <xdr:row>38</xdr:row>
      <xdr:rowOff>102856</xdr:rowOff>
    </xdr:from>
    <xdr:to>
      <xdr:col>3</xdr:col>
      <xdr:colOff>158635</xdr:colOff>
      <xdr:row>44</xdr:row>
      <xdr:rowOff>10182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6316" y="11066691"/>
          <a:ext cx="1078719" cy="1395467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3</xdr:col>
      <xdr:colOff>295271</xdr:colOff>
      <xdr:row>38</xdr:row>
      <xdr:rowOff>91968</xdr:rowOff>
    </xdr:from>
    <xdr:to>
      <xdr:col>5</xdr:col>
      <xdr:colOff>356578</xdr:colOff>
      <xdr:row>43</xdr:row>
      <xdr:rowOff>307680</xdr:rowOff>
    </xdr:to>
    <xdr:pic>
      <xdr:nvPicPr>
        <xdr:cNvPr id="4" name="그림 3" descr="https://search.pstatic.net/sunny/?src=http%3A%2F%2Fres.heraldm.com%2Fcontent%2Fimage%2F2013%2F11%2F11%2F20131111000161_0.jpg&amp;type=sc960_83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440"/>
        <a:stretch/>
      </xdr:blipFill>
      <xdr:spPr bwMode="auto">
        <a:xfrm>
          <a:off x="1971671" y="11055803"/>
          <a:ext cx="1056389" cy="1390089"/>
        </a:xfrm>
        <a:prstGeom prst="rect">
          <a:avLst/>
        </a:prstGeom>
        <a:noFill/>
        <a:ln>
          <a:solidFill>
            <a:schemeClr val="tx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437268</xdr:colOff>
      <xdr:row>38</xdr:row>
      <xdr:rowOff>81084</xdr:rowOff>
    </xdr:from>
    <xdr:to>
      <xdr:col>7</xdr:col>
      <xdr:colOff>294946</xdr:colOff>
      <xdr:row>43</xdr:row>
      <xdr:rowOff>306320</xdr:rowOff>
    </xdr:to>
    <xdr:pic>
      <xdr:nvPicPr>
        <xdr:cNvPr id="5" name="그림 4" descr="https://search.pstatic.net/common/?src=http%3A%2F%2Fblogfiles.naver.net%2FMjAyMjA3MjVfMjMz%2FMDAxNjU4NzQyOTQyODgy.teBnVRuC13O6EeaBH-kIQnUS-YDgu9Zu2CJvNwaR0Tkg._-QbYBxaS6zg4dVR5P5uAYTE_xALKuYOxNyhupHNQaQg.JPEG.bdrsquare%2FG%25B9%25EB%25B8%25AE.jpg&amp;type=sc960_83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582" b="17376"/>
        <a:stretch/>
      </xdr:blipFill>
      <xdr:spPr bwMode="auto">
        <a:xfrm>
          <a:off x="3108750" y="11044919"/>
          <a:ext cx="1085843" cy="1399613"/>
        </a:xfrm>
        <a:prstGeom prst="rect">
          <a:avLst/>
        </a:prstGeom>
        <a:noFill/>
        <a:ln>
          <a:solidFill>
            <a:schemeClr val="tx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435905</xdr:colOff>
      <xdr:row>38</xdr:row>
      <xdr:rowOff>89250</xdr:rowOff>
    </xdr:from>
    <xdr:to>
      <xdr:col>9</xdr:col>
      <xdr:colOff>154951</xdr:colOff>
      <xdr:row>43</xdr:row>
      <xdr:rowOff>304961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35552" y="11053085"/>
          <a:ext cx="1099611" cy="139008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275984</xdr:colOff>
      <xdr:row>38</xdr:row>
      <xdr:rowOff>71561</xdr:rowOff>
    </xdr:from>
    <xdr:to>
      <xdr:col>12</xdr:col>
      <xdr:colOff>672426</xdr:colOff>
      <xdr:row>43</xdr:row>
      <xdr:rowOff>285190</xdr:rowOff>
    </xdr:to>
    <xdr:pic>
      <xdr:nvPicPr>
        <xdr:cNvPr id="7" name="그림 6" descr="https://search.pstatic.net/common/?src=http%3A%2F%2Fblogfiles.naver.net%2FMjAxODEyMThfMjMy%2FMDAxNTQ1MTE4MjI1MTE4.DxIdGpKWiIE38pD6gOFwpuzM8ztD8TGumdljOMZEQY8g.uQwttDqZyzj4GUYzK7fJnQo_QMs_LowLrLP1Les5eegg.JPEG.16882275%2F20170812_184359.jpg&amp;type=sc960_83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542" b="6337"/>
        <a:stretch/>
      </xdr:blipFill>
      <xdr:spPr bwMode="auto">
        <a:xfrm>
          <a:off x="6856078" y="11035396"/>
          <a:ext cx="1086724" cy="1388006"/>
        </a:xfrm>
        <a:prstGeom prst="rect">
          <a:avLst/>
        </a:prstGeom>
        <a:noFill/>
        <a:ln>
          <a:solidFill>
            <a:schemeClr val="tx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322089</xdr:colOff>
      <xdr:row>38</xdr:row>
      <xdr:rowOff>74280</xdr:rowOff>
    </xdr:from>
    <xdr:to>
      <xdr:col>11</xdr:col>
      <xdr:colOff>44904</xdr:colOff>
      <xdr:row>43</xdr:row>
      <xdr:rowOff>293273</xdr:rowOff>
    </xdr:to>
    <xdr:pic>
      <xdr:nvPicPr>
        <xdr:cNvPr id="10" name="그림 9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9329" t="26591" r="19869" b="21376"/>
        <a:stretch/>
      </xdr:blipFill>
      <xdr:spPr>
        <a:xfrm>
          <a:off x="5602301" y="11038115"/>
          <a:ext cx="1022697" cy="139337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13</xdr:col>
      <xdr:colOff>116540</xdr:colOff>
      <xdr:row>38</xdr:row>
      <xdr:rowOff>44824</xdr:rowOff>
    </xdr:from>
    <xdr:to>
      <xdr:col>15</xdr:col>
      <xdr:colOff>119748</xdr:colOff>
      <xdr:row>43</xdr:row>
      <xdr:rowOff>295835</xdr:rowOff>
    </xdr:to>
    <xdr:pic>
      <xdr:nvPicPr>
        <xdr:cNvPr id="11" name="그림 10" descr="에이원타워 당산(구 당산엠디엠타워) 사무실임대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305" r="14704"/>
        <a:stretch/>
      </xdr:blipFill>
      <xdr:spPr bwMode="auto">
        <a:xfrm>
          <a:off x="8077199" y="11008659"/>
          <a:ext cx="1383773" cy="1425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190499</xdr:colOff>
      <xdr:row>32</xdr:row>
      <xdr:rowOff>47623</xdr:rowOff>
    </xdr:from>
    <xdr:to>
      <xdr:col>5</xdr:col>
      <xdr:colOff>1095374</xdr:colOff>
      <xdr:row>45</xdr:row>
      <xdr:rowOff>76200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516110</xdr:colOff>
      <xdr:row>6</xdr:row>
      <xdr:rowOff>148695</xdr:rowOff>
    </xdr:from>
    <xdr:to>
      <xdr:col>15</xdr:col>
      <xdr:colOff>359228</xdr:colOff>
      <xdr:row>18</xdr:row>
      <xdr:rowOff>99254</xdr:rowOff>
    </xdr:to>
    <xdr:graphicFrame macro="">
      <xdr:nvGraphicFramePr>
        <xdr:cNvPr id="3" name="차트 2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911678</xdr:colOff>
      <xdr:row>32</xdr:row>
      <xdr:rowOff>68036</xdr:rowOff>
    </xdr:from>
    <xdr:to>
      <xdr:col>15</xdr:col>
      <xdr:colOff>748393</xdr:colOff>
      <xdr:row>45</xdr:row>
      <xdr:rowOff>21772</xdr:rowOff>
    </xdr:to>
    <xdr:graphicFrame macro="">
      <xdr:nvGraphicFramePr>
        <xdr:cNvPr id="4" name="차트 3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76200</xdr:colOff>
      <xdr:row>42</xdr:row>
      <xdr:rowOff>152401</xdr:rowOff>
    </xdr:from>
    <xdr:to>
      <xdr:col>8</xdr:col>
      <xdr:colOff>968829</xdr:colOff>
      <xdr:row>53</xdr:row>
      <xdr:rowOff>185058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130628</xdr:colOff>
      <xdr:row>42</xdr:row>
      <xdr:rowOff>176893</xdr:rowOff>
    </xdr:from>
    <xdr:to>
      <xdr:col>13</xdr:col>
      <xdr:colOff>870856</xdr:colOff>
      <xdr:row>53</xdr:row>
      <xdr:rowOff>185057</xdr:rowOff>
    </xdr:to>
    <xdr:graphicFrame macro="">
      <xdr:nvGraphicFramePr>
        <xdr:cNvPr id="3" name="차트 2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640278</xdr:colOff>
      <xdr:row>4</xdr:row>
      <xdr:rowOff>180106</xdr:rowOff>
    </xdr:from>
    <xdr:to>
      <xdr:col>10</xdr:col>
      <xdr:colOff>269636</xdr:colOff>
      <xdr:row>6</xdr:row>
      <xdr:rowOff>37604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C3F1F99-5AF7-467F-883D-84F559B32BE7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1696" y="1371597"/>
          <a:ext cx="1568994" cy="356261"/>
        </a:xfrm>
        <a:prstGeom prst="rect">
          <a:avLst/>
        </a:prstGeom>
      </xdr:spPr>
    </xdr:pic>
    <xdr:clientData/>
  </xdr:twoCellAnchor>
  <xdr:twoCellAnchor editAs="oneCell">
    <xdr:from>
      <xdr:col>8</xdr:col>
      <xdr:colOff>628811</xdr:colOff>
      <xdr:row>16</xdr:row>
      <xdr:rowOff>124140</xdr:rowOff>
    </xdr:from>
    <xdr:to>
      <xdr:col>10</xdr:col>
      <xdr:colOff>501735</xdr:colOff>
      <xdr:row>18</xdr:row>
      <xdr:rowOff>71572</xdr:rowOff>
    </xdr:to>
    <xdr:pic>
      <xdr:nvPicPr>
        <xdr:cNvPr id="3" name="그림 2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26796" b="53010" l="15729" r="78281">
                      <a14:foregroundMark x1="33958" y1="43107" x2="33958" y2="43107"/>
                      <a14:foregroundMark x1="39844" y1="46408" x2="39844" y2="46408"/>
                      <a14:foregroundMark x1="45469" y1="46699" x2="45469" y2="46699"/>
                      <a14:foregroundMark x1="54063" y1="44369" x2="54063" y2="44369"/>
                      <a14:foregroundMark x1="60052" y1="45243" x2="60052" y2="45243"/>
                      <a14:foregroundMark x1="68281" y1="46699" x2="68281" y2="46699"/>
                      <a14:foregroundMark x1="64740" y1="39612" x2="64740" y2="39612"/>
                      <a14:foregroundMark x1="72344" y1="29709" x2="72344" y2="29709"/>
                      <a14:foregroundMark x1="73490" y1="30874" x2="73490" y2="30874"/>
                      <a14:foregroundMark x1="72083" y1="31845" x2="72083" y2="31845"/>
                      <a14:foregroundMark x1="65833" y1="28350" x2="71615" y2="32233"/>
                      <a14:foregroundMark x1="60781" y1="37379" x2="60781" y2="37379"/>
                      <a14:foregroundMark x1="70052" y1="36311" x2="70052" y2="36311"/>
                      <a14:foregroundMark x1="65677" y1="28447" x2="65677" y2="28447"/>
                      <a14:foregroundMark x1="77604" y1="28641" x2="77604" y2="28641"/>
                      <a14:foregroundMark x1="72083" y1="34466" x2="72083" y2="34466"/>
                      <a14:foregroundMark x1="70833" y1="33883" x2="70833" y2="33883"/>
                      <a14:foregroundMark x1="69688" y1="36602" x2="69688" y2="36602"/>
                      <a14:foregroundMark x1="74479" y1="31845" x2="74479" y2="31845"/>
                      <a14:foregroundMark x1="73646" y1="32718" x2="73646" y2="32718"/>
                      <a14:foregroundMark x1="76042" y1="30097" x2="76042" y2="30097"/>
                    </a14:backgroundRemoval>
                  </a14:imgEffect>
                </a14:imgLayer>
              </a14:imgProps>
            </a:ext>
          </a:extLst>
        </a:blip>
        <a:srcRect l="14645" t="25967" r="20347" b="43960"/>
        <a:stretch/>
      </xdr:blipFill>
      <xdr:spPr>
        <a:xfrm>
          <a:off x="6780229" y="4654576"/>
          <a:ext cx="1812560" cy="44619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161925</xdr:colOff>
      <xdr:row>61</xdr:row>
      <xdr:rowOff>0</xdr:rowOff>
    </xdr:from>
    <xdr:to>
      <xdr:col>8</xdr:col>
      <xdr:colOff>257175</xdr:colOff>
      <xdr:row>61</xdr:row>
      <xdr:rowOff>28575</xdr:rowOff>
    </xdr:to>
    <xdr:sp macro="" textlink="">
      <xdr:nvSpPr>
        <xdr:cNvPr id="2" name="Text Box 25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SpPr txBox="1">
          <a:spLocks noChangeArrowheads="1"/>
        </xdr:cNvSpPr>
      </xdr:nvSpPr>
      <xdr:spPr bwMode="auto">
        <a:xfrm>
          <a:off x="6905625" y="7639050"/>
          <a:ext cx="9525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7</xdr:col>
      <xdr:colOff>266700</xdr:colOff>
      <xdr:row>61</xdr:row>
      <xdr:rowOff>0</xdr:rowOff>
    </xdr:from>
    <xdr:to>
      <xdr:col>7</xdr:col>
      <xdr:colOff>400050</xdr:colOff>
      <xdr:row>61</xdr:row>
      <xdr:rowOff>28575</xdr:rowOff>
    </xdr:to>
    <xdr:sp macro="" textlink="">
      <xdr:nvSpPr>
        <xdr:cNvPr id="3" name="Text Box 26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SpPr txBox="1">
          <a:spLocks noChangeArrowheads="1"/>
        </xdr:cNvSpPr>
      </xdr:nvSpPr>
      <xdr:spPr bwMode="auto">
        <a:xfrm>
          <a:off x="6048375" y="7639050"/>
          <a:ext cx="13335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11</xdr:col>
      <xdr:colOff>342900</xdr:colOff>
      <xdr:row>168</xdr:row>
      <xdr:rowOff>95250</xdr:rowOff>
    </xdr:from>
    <xdr:to>
      <xdr:col>11</xdr:col>
      <xdr:colOff>495300</xdr:colOff>
      <xdr:row>168</xdr:row>
      <xdr:rowOff>95250</xdr:rowOff>
    </xdr:to>
    <xdr:sp macro="" textlink="">
      <xdr:nvSpPr>
        <xdr:cNvPr id="4" name="Line 28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SpPr>
          <a:spLocks noChangeShapeType="1"/>
        </xdr:cNvSpPr>
      </xdr:nvSpPr>
      <xdr:spPr bwMode="auto">
        <a:xfrm>
          <a:off x="9972675" y="1961197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5" name="Line 66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173</xdr:row>
      <xdr:rowOff>95250</xdr:rowOff>
    </xdr:from>
    <xdr:to>
      <xdr:col>11</xdr:col>
      <xdr:colOff>495300</xdr:colOff>
      <xdr:row>173</xdr:row>
      <xdr:rowOff>95250</xdr:rowOff>
    </xdr:to>
    <xdr:sp macro="" textlink="">
      <xdr:nvSpPr>
        <xdr:cNvPr id="6" name="Line 70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SpPr>
          <a:spLocks noChangeShapeType="1"/>
        </xdr:cNvSpPr>
      </xdr:nvSpPr>
      <xdr:spPr bwMode="auto">
        <a:xfrm>
          <a:off x="9972675" y="2046922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409575</xdr:colOff>
      <xdr:row>173</xdr:row>
      <xdr:rowOff>95250</xdr:rowOff>
    </xdr:from>
    <xdr:to>
      <xdr:col>13</xdr:col>
      <xdr:colOff>133350</xdr:colOff>
      <xdr:row>173</xdr:row>
      <xdr:rowOff>95250</xdr:rowOff>
    </xdr:to>
    <xdr:sp macro="" textlink="">
      <xdr:nvSpPr>
        <xdr:cNvPr id="7" name="Line 71">
          <a:extLst>
            <a:ext uri="{FF2B5EF4-FFF2-40B4-BE49-F238E27FC236}">
              <a16:creationId xmlns:a16="http://schemas.microsoft.com/office/drawing/2014/main" id="{00000000-0008-0000-1200-000008000000}"/>
            </a:ext>
          </a:extLst>
        </xdr:cNvPr>
        <xdr:cNvSpPr>
          <a:spLocks noChangeShapeType="1"/>
        </xdr:cNvSpPr>
      </xdr:nvSpPr>
      <xdr:spPr bwMode="auto">
        <a:xfrm>
          <a:off x="10039350" y="20469225"/>
          <a:ext cx="1647825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8" name="Line 28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173</xdr:row>
      <xdr:rowOff>95250</xdr:rowOff>
    </xdr:from>
    <xdr:to>
      <xdr:col>11</xdr:col>
      <xdr:colOff>495300</xdr:colOff>
      <xdr:row>173</xdr:row>
      <xdr:rowOff>95250</xdr:rowOff>
    </xdr:to>
    <xdr:sp macro="" textlink="">
      <xdr:nvSpPr>
        <xdr:cNvPr id="9" name="Line 66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SpPr>
          <a:spLocks noChangeShapeType="1"/>
        </xdr:cNvSpPr>
      </xdr:nvSpPr>
      <xdr:spPr bwMode="auto">
        <a:xfrm>
          <a:off x="9972675" y="2046922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409575</xdr:colOff>
      <xdr:row>173</xdr:row>
      <xdr:rowOff>95250</xdr:rowOff>
    </xdr:from>
    <xdr:to>
      <xdr:col>13</xdr:col>
      <xdr:colOff>133350</xdr:colOff>
      <xdr:row>173</xdr:row>
      <xdr:rowOff>95250</xdr:rowOff>
    </xdr:to>
    <xdr:sp macro="" textlink="">
      <xdr:nvSpPr>
        <xdr:cNvPr id="10" name="Line 67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SpPr>
          <a:spLocks noChangeShapeType="1"/>
        </xdr:cNvSpPr>
      </xdr:nvSpPr>
      <xdr:spPr bwMode="auto">
        <a:xfrm>
          <a:off x="10039350" y="20469225"/>
          <a:ext cx="1647825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173</xdr:row>
      <xdr:rowOff>95250</xdr:rowOff>
    </xdr:from>
    <xdr:to>
      <xdr:col>11</xdr:col>
      <xdr:colOff>495300</xdr:colOff>
      <xdr:row>173</xdr:row>
      <xdr:rowOff>95250</xdr:rowOff>
    </xdr:to>
    <xdr:sp macro="" textlink="">
      <xdr:nvSpPr>
        <xdr:cNvPr id="11" name="Line 28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SpPr>
          <a:spLocks noChangeShapeType="1"/>
        </xdr:cNvSpPr>
      </xdr:nvSpPr>
      <xdr:spPr bwMode="auto">
        <a:xfrm>
          <a:off x="9972675" y="2046922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409575</xdr:colOff>
      <xdr:row>173</xdr:row>
      <xdr:rowOff>95250</xdr:rowOff>
    </xdr:from>
    <xdr:to>
      <xdr:col>13</xdr:col>
      <xdr:colOff>133350</xdr:colOff>
      <xdr:row>173</xdr:row>
      <xdr:rowOff>95250</xdr:rowOff>
    </xdr:to>
    <xdr:sp macro="" textlink="">
      <xdr:nvSpPr>
        <xdr:cNvPr id="12" name="Line 30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SpPr>
          <a:spLocks noChangeShapeType="1"/>
        </xdr:cNvSpPr>
      </xdr:nvSpPr>
      <xdr:spPr bwMode="auto">
        <a:xfrm>
          <a:off x="10039350" y="20469225"/>
          <a:ext cx="1647825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 editAs="oneCell">
    <xdr:from>
      <xdr:col>8</xdr:col>
      <xdr:colOff>161925</xdr:colOff>
      <xdr:row>61</xdr:row>
      <xdr:rowOff>0</xdr:rowOff>
    </xdr:from>
    <xdr:to>
      <xdr:col>8</xdr:col>
      <xdr:colOff>257175</xdr:colOff>
      <xdr:row>61</xdr:row>
      <xdr:rowOff>28575</xdr:rowOff>
    </xdr:to>
    <xdr:sp macro="" textlink="">
      <xdr:nvSpPr>
        <xdr:cNvPr id="13" name="Text Box 2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SpPr txBox="1">
          <a:spLocks noChangeArrowheads="1"/>
        </xdr:cNvSpPr>
      </xdr:nvSpPr>
      <xdr:spPr bwMode="auto">
        <a:xfrm>
          <a:off x="6905625" y="7639050"/>
          <a:ext cx="9525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7</xdr:col>
      <xdr:colOff>266700</xdr:colOff>
      <xdr:row>61</xdr:row>
      <xdr:rowOff>0</xdr:rowOff>
    </xdr:from>
    <xdr:to>
      <xdr:col>7</xdr:col>
      <xdr:colOff>400050</xdr:colOff>
      <xdr:row>61</xdr:row>
      <xdr:rowOff>28575</xdr:rowOff>
    </xdr:to>
    <xdr:sp macro="" textlink="">
      <xdr:nvSpPr>
        <xdr:cNvPr id="14" name="Text Box 26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SpPr txBox="1">
          <a:spLocks noChangeArrowheads="1"/>
        </xdr:cNvSpPr>
      </xdr:nvSpPr>
      <xdr:spPr bwMode="auto">
        <a:xfrm>
          <a:off x="6048375" y="7639050"/>
          <a:ext cx="13335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11</xdr:col>
      <xdr:colOff>342900</xdr:colOff>
      <xdr:row>168</xdr:row>
      <xdr:rowOff>95250</xdr:rowOff>
    </xdr:from>
    <xdr:to>
      <xdr:col>11</xdr:col>
      <xdr:colOff>495300</xdr:colOff>
      <xdr:row>168</xdr:row>
      <xdr:rowOff>95250</xdr:rowOff>
    </xdr:to>
    <xdr:sp macro="" textlink="">
      <xdr:nvSpPr>
        <xdr:cNvPr id="15" name="Line 28">
          <a:extLst>
            <a:ext uri="{FF2B5EF4-FFF2-40B4-BE49-F238E27FC236}">
              <a16:creationId xmlns:a16="http://schemas.microsoft.com/office/drawing/2014/main" id="{00000000-0008-0000-1200-000012000000}"/>
            </a:ext>
          </a:extLst>
        </xdr:cNvPr>
        <xdr:cNvSpPr>
          <a:spLocks noChangeShapeType="1"/>
        </xdr:cNvSpPr>
      </xdr:nvSpPr>
      <xdr:spPr bwMode="auto">
        <a:xfrm>
          <a:off x="9972675" y="1961197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16" name="Line 66">
          <a:extLst>
            <a:ext uri="{FF2B5EF4-FFF2-40B4-BE49-F238E27FC236}">
              <a16:creationId xmlns:a16="http://schemas.microsoft.com/office/drawing/2014/main" id="{00000000-0008-0000-1200-000013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173</xdr:row>
      <xdr:rowOff>95250</xdr:rowOff>
    </xdr:from>
    <xdr:to>
      <xdr:col>11</xdr:col>
      <xdr:colOff>495300</xdr:colOff>
      <xdr:row>173</xdr:row>
      <xdr:rowOff>95250</xdr:rowOff>
    </xdr:to>
    <xdr:sp macro="" textlink="">
      <xdr:nvSpPr>
        <xdr:cNvPr id="17" name="Line 70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SpPr>
          <a:spLocks noChangeShapeType="1"/>
        </xdr:cNvSpPr>
      </xdr:nvSpPr>
      <xdr:spPr bwMode="auto">
        <a:xfrm>
          <a:off x="9972675" y="2046922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409575</xdr:colOff>
      <xdr:row>173</xdr:row>
      <xdr:rowOff>95250</xdr:rowOff>
    </xdr:from>
    <xdr:to>
      <xdr:col>13</xdr:col>
      <xdr:colOff>133350</xdr:colOff>
      <xdr:row>173</xdr:row>
      <xdr:rowOff>95250</xdr:rowOff>
    </xdr:to>
    <xdr:sp macro="" textlink="">
      <xdr:nvSpPr>
        <xdr:cNvPr id="18" name="Line 71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SpPr>
          <a:spLocks noChangeShapeType="1"/>
        </xdr:cNvSpPr>
      </xdr:nvSpPr>
      <xdr:spPr bwMode="auto">
        <a:xfrm>
          <a:off x="10039350" y="20469225"/>
          <a:ext cx="1647825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19" name="Line 28">
          <a:extLst>
            <a:ext uri="{FF2B5EF4-FFF2-40B4-BE49-F238E27FC236}">
              <a16:creationId xmlns:a16="http://schemas.microsoft.com/office/drawing/2014/main" id="{00000000-0008-0000-1200-000016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173</xdr:row>
      <xdr:rowOff>95250</xdr:rowOff>
    </xdr:from>
    <xdr:to>
      <xdr:col>11</xdr:col>
      <xdr:colOff>495300</xdr:colOff>
      <xdr:row>173</xdr:row>
      <xdr:rowOff>95250</xdr:rowOff>
    </xdr:to>
    <xdr:sp macro="" textlink="">
      <xdr:nvSpPr>
        <xdr:cNvPr id="20" name="Line 66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SpPr>
          <a:spLocks noChangeShapeType="1"/>
        </xdr:cNvSpPr>
      </xdr:nvSpPr>
      <xdr:spPr bwMode="auto">
        <a:xfrm>
          <a:off x="9972675" y="2046922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409575</xdr:colOff>
      <xdr:row>173</xdr:row>
      <xdr:rowOff>95250</xdr:rowOff>
    </xdr:from>
    <xdr:to>
      <xdr:col>13</xdr:col>
      <xdr:colOff>133350</xdr:colOff>
      <xdr:row>173</xdr:row>
      <xdr:rowOff>95250</xdr:rowOff>
    </xdr:to>
    <xdr:sp macro="" textlink="">
      <xdr:nvSpPr>
        <xdr:cNvPr id="21" name="Line 67">
          <a:extLst>
            <a:ext uri="{FF2B5EF4-FFF2-40B4-BE49-F238E27FC236}">
              <a16:creationId xmlns:a16="http://schemas.microsoft.com/office/drawing/2014/main" id="{00000000-0008-0000-1200-000018000000}"/>
            </a:ext>
          </a:extLst>
        </xdr:cNvPr>
        <xdr:cNvSpPr>
          <a:spLocks noChangeShapeType="1"/>
        </xdr:cNvSpPr>
      </xdr:nvSpPr>
      <xdr:spPr bwMode="auto">
        <a:xfrm>
          <a:off x="10039350" y="20469225"/>
          <a:ext cx="1647825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173</xdr:row>
      <xdr:rowOff>95250</xdr:rowOff>
    </xdr:from>
    <xdr:to>
      <xdr:col>11</xdr:col>
      <xdr:colOff>495300</xdr:colOff>
      <xdr:row>173</xdr:row>
      <xdr:rowOff>95250</xdr:rowOff>
    </xdr:to>
    <xdr:sp macro="" textlink="">
      <xdr:nvSpPr>
        <xdr:cNvPr id="22" name="Line 28">
          <a:extLst>
            <a:ext uri="{FF2B5EF4-FFF2-40B4-BE49-F238E27FC236}">
              <a16:creationId xmlns:a16="http://schemas.microsoft.com/office/drawing/2014/main" id="{00000000-0008-0000-1200-000019000000}"/>
            </a:ext>
          </a:extLst>
        </xdr:cNvPr>
        <xdr:cNvSpPr>
          <a:spLocks noChangeShapeType="1"/>
        </xdr:cNvSpPr>
      </xdr:nvSpPr>
      <xdr:spPr bwMode="auto">
        <a:xfrm>
          <a:off x="9972675" y="2046922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409575</xdr:colOff>
      <xdr:row>173</xdr:row>
      <xdr:rowOff>95250</xdr:rowOff>
    </xdr:from>
    <xdr:to>
      <xdr:col>13</xdr:col>
      <xdr:colOff>133350</xdr:colOff>
      <xdr:row>173</xdr:row>
      <xdr:rowOff>95250</xdr:rowOff>
    </xdr:to>
    <xdr:sp macro="" textlink="">
      <xdr:nvSpPr>
        <xdr:cNvPr id="23" name="Line 30">
          <a:extLst>
            <a:ext uri="{FF2B5EF4-FFF2-40B4-BE49-F238E27FC236}">
              <a16:creationId xmlns:a16="http://schemas.microsoft.com/office/drawing/2014/main" id="{00000000-0008-0000-1200-00001A000000}"/>
            </a:ext>
          </a:extLst>
        </xdr:cNvPr>
        <xdr:cNvSpPr>
          <a:spLocks noChangeShapeType="1"/>
        </xdr:cNvSpPr>
      </xdr:nvSpPr>
      <xdr:spPr bwMode="auto">
        <a:xfrm>
          <a:off x="10039350" y="20469225"/>
          <a:ext cx="1647825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168</xdr:row>
      <xdr:rowOff>95250</xdr:rowOff>
    </xdr:from>
    <xdr:to>
      <xdr:col>11</xdr:col>
      <xdr:colOff>495300</xdr:colOff>
      <xdr:row>168</xdr:row>
      <xdr:rowOff>95250</xdr:rowOff>
    </xdr:to>
    <xdr:sp macro="" textlink="">
      <xdr:nvSpPr>
        <xdr:cNvPr id="24" name="Line 28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SpPr>
          <a:spLocks noChangeShapeType="1"/>
        </xdr:cNvSpPr>
      </xdr:nvSpPr>
      <xdr:spPr bwMode="auto">
        <a:xfrm>
          <a:off x="9972675" y="1961197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25" name="Line 66">
          <a:extLst>
            <a:ext uri="{FF2B5EF4-FFF2-40B4-BE49-F238E27FC236}">
              <a16:creationId xmlns:a16="http://schemas.microsoft.com/office/drawing/2014/main" id="{00000000-0008-0000-1200-00001C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173</xdr:row>
      <xdr:rowOff>95250</xdr:rowOff>
    </xdr:from>
    <xdr:to>
      <xdr:col>11</xdr:col>
      <xdr:colOff>495300</xdr:colOff>
      <xdr:row>173</xdr:row>
      <xdr:rowOff>95250</xdr:rowOff>
    </xdr:to>
    <xdr:sp macro="" textlink="">
      <xdr:nvSpPr>
        <xdr:cNvPr id="26" name="Line 70">
          <a:extLst>
            <a:ext uri="{FF2B5EF4-FFF2-40B4-BE49-F238E27FC236}">
              <a16:creationId xmlns:a16="http://schemas.microsoft.com/office/drawing/2014/main" id="{00000000-0008-0000-1200-00001D000000}"/>
            </a:ext>
          </a:extLst>
        </xdr:cNvPr>
        <xdr:cNvSpPr>
          <a:spLocks noChangeShapeType="1"/>
        </xdr:cNvSpPr>
      </xdr:nvSpPr>
      <xdr:spPr bwMode="auto">
        <a:xfrm>
          <a:off x="9972675" y="2046922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409575</xdr:colOff>
      <xdr:row>173</xdr:row>
      <xdr:rowOff>95250</xdr:rowOff>
    </xdr:from>
    <xdr:to>
      <xdr:col>13</xdr:col>
      <xdr:colOff>133350</xdr:colOff>
      <xdr:row>173</xdr:row>
      <xdr:rowOff>95250</xdr:rowOff>
    </xdr:to>
    <xdr:sp macro="" textlink="">
      <xdr:nvSpPr>
        <xdr:cNvPr id="27" name="Line 71">
          <a:extLst>
            <a:ext uri="{FF2B5EF4-FFF2-40B4-BE49-F238E27FC236}">
              <a16:creationId xmlns:a16="http://schemas.microsoft.com/office/drawing/2014/main" id="{00000000-0008-0000-1200-00001E000000}"/>
            </a:ext>
          </a:extLst>
        </xdr:cNvPr>
        <xdr:cNvSpPr>
          <a:spLocks noChangeShapeType="1"/>
        </xdr:cNvSpPr>
      </xdr:nvSpPr>
      <xdr:spPr bwMode="auto">
        <a:xfrm>
          <a:off x="10039350" y="20469225"/>
          <a:ext cx="1647825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28" name="Line 28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173</xdr:row>
      <xdr:rowOff>95250</xdr:rowOff>
    </xdr:from>
    <xdr:to>
      <xdr:col>11</xdr:col>
      <xdr:colOff>495300</xdr:colOff>
      <xdr:row>173</xdr:row>
      <xdr:rowOff>95250</xdr:rowOff>
    </xdr:to>
    <xdr:sp macro="" textlink="">
      <xdr:nvSpPr>
        <xdr:cNvPr id="29" name="Line 66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SpPr>
          <a:spLocks noChangeShapeType="1"/>
        </xdr:cNvSpPr>
      </xdr:nvSpPr>
      <xdr:spPr bwMode="auto">
        <a:xfrm>
          <a:off x="9972675" y="2046922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409575</xdr:colOff>
      <xdr:row>173</xdr:row>
      <xdr:rowOff>95250</xdr:rowOff>
    </xdr:from>
    <xdr:to>
      <xdr:col>13</xdr:col>
      <xdr:colOff>133350</xdr:colOff>
      <xdr:row>173</xdr:row>
      <xdr:rowOff>95250</xdr:rowOff>
    </xdr:to>
    <xdr:sp macro="" textlink="">
      <xdr:nvSpPr>
        <xdr:cNvPr id="30" name="Line 67">
          <a:extLst>
            <a:ext uri="{FF2B5EF4-FFF2-40B4-BE49-F238E27FC236}">
              <a16:creationId xmlns:a16="http://schemas.microsoft.com/office/drawing/2014/main" id="{00000000-0008-0000-1200-000021000000}"/>
            </a:ext>
          </a:extLst>
        </xdr:cNvPr>
        <xdr:cNvSpPr>
          <a:spLocks noChangeShapeType="1"/>
        </xdr:cNvSpPr>
      </xdr:nvSpPr>
      <xdr:spPr bwMode="auto">
        <a:xfrm>
          <a:off x="10039350" y="20469225"/>
          <a:ext cx="1647825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173</xdr:row>
      <xdr:rowOff>95250</xdr:rowOff>
    </xdr:from>
    <xdr:to>
      <xdr:col>11</xdr:col>
      <xdr:colOff>495300</xdr:colOff>
      <xdr:row>173</xdr:row>
      <xdr:rowOff>95250</xdr:rowOff>
    </xdr:to>
    <xdr:sp macro="" textlink="">
      <xdr:nvSpPr>
        <xdr:cNvPr id="31" name="Line 28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SpPr>
          <a:spLocks noChangeShapeType="1"/>
        </xdr:cNvSpPr>
      </xdr:nvSpPr>
      <xdr:spPr bwMode="auto">
        <a:xfrm>
          <a:off x="9972675" y="2046922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32" name="Line 66">
          <a:extLst>
            <a:ext uri="{FF2B5EF4-FFF2-40B4-BE49-F238E27FC236}">
              <a16:creationId xmlns:a16="http://schemas.microsoft.com/office/drawing/2014/main" id="{00000000-0008-0000-1200-000023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33" name="Line 28">
          <a:extLst>
            <a:ext uri="{FF2B5EF4-FFF2-40B4-BE49-F238E27FC236}">
              <a16:creationId xmlns:a16="http://schemas.microsoft.com/office/drawing/2014/main" id="{00000000-0008-0000-1200-000024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34" name="Line 66">
          <a:extLst>
            <a:ext uri="{FF2B5EF4-FFF2-40B4-BE49-F238E27FC236}">
              <a16:creationId xmlns:a16="http://schemas.microsoft.com/office/drawing/2014/main" id="{00000000-0008-0000-1200-000025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35" name="Line 28">
          <a:extLst>
            <a:ext uri="{FF2B5EF4-FFF2-40B4-BE49-F238E27FC236}">
              <a16:creationId xmlns:a16="http://schemas.microsoft.com/office/drawing/2014/main" id="{00000000-0008-0000-1200-000026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36" name="Line 66">
          <a:extLst>
            <a:ext uri="{FF2B5EF4-FFF2-40B4-BE49-F238E27FC236}">
              <a16:creationId xmlns:a16="http://schemas.microsoft.com/office/drawing/2014/main" id="{00000000-0008-0000-1200-000027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37" name="Line 28">
          <a:extLst>
            <a:ext uri="{FF2B5EF4-FFF2-40B4-BE49-F238E27FC236}">
              <a16:creationId xmlns:a16="http://schemas.microsoft.com/office/drawing/2014/main" id="{00000000-0008-0000-1200-000028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168</xdr:row>
      <xdr:rowOff>95250</xdr:rowOff>
    </xdr:from>
    <xdr:to>
      <xdr:col>11</xdr:col>
      <xdr:colOff>495300</xdr:colOff>
      <xdr:row>168</xdr:row>
      <xdr:rowOff>95250</xdr:rowOff>
    </xdr:to>
    <xdr:sp macro="" textlink="">
      <xdr:nvSpPr>
        <xdr:cNvPr id="38" name="Line 28">
          <a:extLst>
            <a:ext uri="{FF2B5EF4-FFF2-40B4-BE49-F238E27FC236}">
              <a16:creationId xmlns:a16="http://schemas.microsoft.com/office/drawing/2014/main" id="{00000000-0008-0000-1200-000029000000}"/>
            </a:ext>
          </a:extLst>
        </xdr:cNvPr>
        <xdr:cNvSpPr>
          <a:spLocks noChangeShapeType="1"/>
        </xdr:cNvSpPr>
      </xdr:nvSpPr>
      <xdr:spPr bwMode="auto">
        <a:xfrm>
          <a:off x="9972675" y="1961197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39" name="Line 66">
          <a:extLst>
            <a:ext uri="{FF2B5EF4-FFF2-40B4-BE49-F238E27FC236}">
              <a16:creationId xmlns:a16="http://schemas.microsoft.com/office/drawing/2014/main" id="{00000000-0008-0000-1200-00002A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40" name="Line 28">
          <a:extLst>
            <a:ext uri="{FF2B5EF4-FFF2-40B4-BE49-F238E27FC236}">
              <a16:creationId xmlns:a16="http://schemas.microsoft.com/office/drawing/2014/main" id="{00000000-0008-0000-1200-00002B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168</xdr:row>
      <xdr:rowOff>95250</xdr:rowOff>
    </xdr:from>
    <xdr:to>
      <xdr:col>11</xdr:col>
      <xdr:colOff>495300</xdr:colOff>
      <xdr:row>168</xdr:row>
      <xdr:rowOff>95250</xdr:rowOff>
    </xdr:to>
    <xdr:sp macro="" textlink="">
      <xdr:nvSpPr>
        <xdr:cNvPr id="41" name="Line 28">
          <a:extLst>
            <a:ext uri="{FF2B5EF4-FFF2-40B4-BE49-F238E27FC236}">
              <a16:creationId xmlns:a16="http://schemas.microsoft.com/office/drawing/2014/main" id="{00000000-0008-0000-1200-00002C000000}"/>
            </a:ext>
          </a:extLst>
        </xdr:cNvPr>
        <xdr:cNvSpPr>
          <a:spLocks noChangeShapeType="1"/>
        </xdr:cNvSpPr>
      </xdr:nvSpPr>
      <xdr:spPr bwMode="auto">
        <a:xfrm>
          <a:off x="9972675" y="1961197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42" name="Line 66">
          <a:extLst>
            <a:ext uri="{FF2B5EF4-FFF2-40B4-BE49-F238E27FC236}">
              <a16:creationId xmlns:a16="http://schemas.microsoft.com/office/drawing/2014/main" id="{00000000-0008-0000-1200-00002D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43" name="Line 28">
          <a:extLst>
            <a:ext uri="{FF2B5EF4-FFF2-40B4-BE49-F238E27FC236}">
              <a16:creationId xmlns:a16="http://schemas.microsoft.com/office/drawing/2014/main" id="{00000000-0008-0000-1200-00002E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168</xdr:row>
      <xdr:rowOff>95250</xdr:rowOff>
    </xdr:from>
    <xdr:to>
      <xdr:col>11</xdr:col>
      <xdr:colOff>495300</xdr:colOff>
      <xdr:row>168</xdr:row>
      <xdr:rowOff>95250</xdr:rowOff>
    </xdr:to>
    <xdr:sp macro="" textlink="">
      <xdr:nvSpPr>
        <xdr:cNvPr id="44" name="Line 28">
          <a:extLst>
            <a:ext uri="{FF2B5EF4-FFF2-40B4-BE49-F238E27FC236}">
              <a16:creationId xmlns:a16="http://schemas.microsoft.com/office/drawing/2014/main" id="{00000000-0008-0000-1200-00002F000000}"/>
            </a:ext>
          </a:extLst>
        </xdr:cNvPr>
        <xdr:cNvSpPr>
          <a:spLocks noChangeShapeType="1"/>
        </xdr:cNvSpPr>
      </xdr:nvSpPr>
      <xdr:spPr bwMode="auto">
        <a:xfrm>
          <a:off x="9972675" y="19611975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45" name="Line 66">
          <a:extLst>
            <a:ext uri="{FF2B5EF4-FFF2-40B4-BE49-F238E27FC236}">
              <a16:creationId xmlns:a16="http://schemas.microsoft.com/office/drawing/2014/main" id="{00000000-0008-0000-1200-000030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46" name="Line 28">
          <a:extLst>
            <a:ext uri="{FF2B5EF4-FFF2-40B4-BE49-F238E27FC236}">
              <a16:creationId xmlns:a16="http://schemas.microsoft.com/office/drawing/2014/main" id="{00000000-0008-0000-1200-000031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47" name="Line 66">
          <a:extLst>
            <a:ext uri="{FF2B5EF4-FFF2-40B4-BE49-F238E27FC236}">
              <a16:creationId xmlns:a16="http://schemas.microsoft.com/office/drawing/2014/main" id="{00000000-0008-0000-1200-000033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48" name="Line 28">
          <a:extLst>
            <a:ext uri="{FF2B5EF4-FFF2-40B4-BE49-F238E27FC236}">
              <a16:creationId xmlns:a16="http://schemas.microsoft.com/office/drawing/2014/main" id="{00000000-0008-0000-1200-000034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49" name="Line 66">
          <a:extLst>
            <a:ext uri="{FF2B5EF4-FFF2-40B4-BE49-F238E27FC236}">
              <a16:creationId xmlns:a16="http://schemas.microsoft.com/office/drawing/2014/main" id="{00000000-0008-0000-1200-000035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11</xdr:col>
      <xdr:colOff>342900</xdr:colOff>
      <xdr:row>169</xdr:row>
      <xdr:rowOff>95250</xdr:rowOff>
    </xdr:from>
    <xdr:to>
      <xdr:col>11</xdr:col>
      <xdr:colOff>495300</xdr:colOff>
      <xdr:row>169</xdr:row>
      <xdr:rowOff>95250</xdr:rowOff>
    </xdr:to>
    <xdr:sp macro="" textlink="">
      <xdr:nvSpPr>
        <xdr:cNvPr id="50" name="Line 28">
          <a:extLst>
            <a:ext uri="{FF2B5EF4-FFF2-40B4-BE49-F238E27FC236}">
              <a16:creationId xmlns:a16="http://schemas.microsoft.com/office/drawing/2014/main" id="{00000000-0008-0000-1200-000036000000}"/>
            </a:ext>
          </a:extLst>
        </xdr:cNvPr>
        <xdr:cNvSpPr>
          <a:spLocks noChangeShapeType="1"/>
        </xdr:cNvSpPr>
      </xdr:nvSpPr>
      <xdr:spPr bwMode="auto">
        <a:xfrm>
          <a:off x="9972675" y="19773900"/>
          <a:ext cx="152400" cy="0"/>
        </a:xfrm>
        <a:prstGeom prst="lin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noFill/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 type="triangle" w="med" len="med"/>
            </a14:hiddenLine>
          </a:ext>
        </a:extLst>
      </xdr:spPr>
    </xdr:sp>
    <xdr:clientData/>
  </xdr:twoCellAnchor>
  <xdr:twoCellAnchor>
    <xdr:from>
      <xdr:col>1</xdr:col>
      <xdr:colOff>190501</xdr:colOff>
      <xdr:row>42</xdr:row>
      <xdr:rowOff>12700</xdr:rowOff>
    </xdr:from>
    <xdr:to>
      <xdr:col>9</xdr:col>
      <xdr:colOff>546101</xdr:colOff>
      <xdr:row>59</xdr:row>
      <xdr:rowOff>0</xdr:rowOff>
    </xdr:to>
    <xdr:graphicFrame macro="">
      <xdr:nvGraphicFramePr>
        <xdr:cNvPr id="51" name="차트 50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184148</xdr:colOff>
      <xdr:row>98</xdr:row>
      <xdr:rowOff>127000</xdr:rowOff>
    </xdr:from>
    <xdr:to>
      <xdr:col>9</xdr:col>
      <xdr:colOff>596899</xdr:colOff>
      <xdr:row>115</xdr:row>
      <xdr:rowOff>25400</xdr:rowOff>
    </xdr:to>
    <xdr:graphicFrame macro="">
      <xdr:nvGraphicFramePr>
        <xdr:cNvPr id="52" name="차트 51">
          <a:extLst>
            <a:ext uri="{FF2B5EF4-FFF2-40B4-BE49-F238E27FC236}">
              <a16:creationId xmlns:a16="http://schemas.microsoft.com/office/drawing/2014/main" id="{00000000-0008-0000-1200-00000E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171449</xdr:colOff>
      <xdr:row>155</xdr:row>
      <xdr:rowOff>12700</xdr:rowOff>
    </xdr:from>
    <xdr:to>
      <xdr:col>9</xdr:col>
      <xdr:colOff>673101</xdr:colOff>
      <xdr:row>170</xdr:row>
      <xdr:rowOff>139700</xdr:rowOff>
    </xdr:to>
    <xdr:graphicFrame macro="">
      <xdr:nvGraphicFramePr>
        <xdr:cNvPr id="53" name="차트 52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12</xdr:row>
      <xdr:rowOff>1</xdr:rowOff>
    </xdr:from>
    <xdr:to>
      <xdr:col>5</xdr:col>
      <xdr:colOff>642258</xdr:colOff>
      <xdr:row>12</xdr:row>
      <xdr:rowOff>1926773</xdr:rowOff>
    </xdr:to>
    <xdr:pic>
      <xdr:nvPicPr>
        <xdr:cNvPr id="14" name="그림 13"/>
        <xdr:cNvPicPr>
          <a:picLocks noChangeAspect="1"/>
        </xdr:cNvPicPr>
      </xdr:nvPicPr>
      <xdr:blipFill rotWithShape="1">
        <a:blip xmlns:r="http://schemas.openxmlformats.org/officeDocument/2006/relationships" r:embed="rId1"/>
        <a:stretch>
          <a:fillRect/>
        </a:stretch>
      </xdr:blipFill>
      <xdr:spPr>
        <a:xfrm>
          <a:off x="769620" y="2583181"/>
          <a:ext cx="2631078" cy="192677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9</xdr:col>
      <xdr:colOff>674914</xdr:colOff>
      <xdr:row>12</xdr:row>
      <xdr:rowOff>1918822</xdr:rowOff>
    </xdr:to>
    <xdr:pic>
      <xdr:nvPicPr>
        <xdr:cNvPr id="15" name="그림 14"/>
        <xdr:cNvPicPr>
          <a:picLocks noChangeAspect="1"/>
        </xdr:cNvPicPr>
      </xdr:nvPicPr>
      <xdr:blipFill rotWithShape="1">
        <a:blip xmlns:r="http://schemas.openxmlformats.org/officeDocument/2006/relationships" r:embed="rId2"/>
        <a:stretch>
          <a:fillRect/>
        </a:stretch>
      </xdr:blipFill>
      <xdr:spPr>
        <a:xfrm>
          <a:off x="3421380" y="2583180"/>
          <a:ext cx="2663734" cy="1918822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12</xdr:row>
      <xdr:rowOff>1</xdr:rowOff>
    </xdr:from>
    <xdr:to>
      <xdr:col>15</xdr:col>
      <xdr:colOff>664028</xdr:colOff>
      <xdr:row>12</xdr:row>
      <xdr:rowOff>1926773</xdr:rowOff>
    </xdr:to>
    <xdr:pic>
      <xdr:nvPicPr>
        <xdr:cNvPr id="28" name="그림 27"/>
        <xdr:cNvPicPr>
          <a:picLocks noChangeAspect="1"/>
        </xdr:cNvPicPr>
      </xdr:nvPicPr>
      <xdr:blipFill rotWithShape="1">
        <a:blip xmlns:r="http://schemas.openxmlformats.org/officeDocument/2006/relationships" r:embed="rId3"/>
        <a:stretch>
          <a:fillRect/>
        </a:stretch>
      </xdr:blipFill>
      <xdr:spPr>
        <a:xfrm>
          <a:off x="7536181" y="2583181"/>
          <a:ext cx="2698567" cy="192677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12</xdr:row>
      <xdr:rowOff>0</xdr:rowOff>
    </xdr:from>
    <xdr:to>
      <xdr:col>19</xdr:col>
      <xdr:colOff>664028</xdr:colOff>
      <xdr:row>12</xdr:row>
      <xdr:rowOff>1915886</xdr:rowOff>
    </xdr:to>
    <xdr:pic>
      <xdr:nvPicPr>
        <xdr:cNvPr id="29" name="그림 28"/>
        <xdr:cNvPicPr/>
      </xdr:nvPicPr>
      <xdr:blipFill rotWithShape="1">
        <a:blip xmlns:r="http://schemas.openxmlformats.org/officeDocument/2006/relationships" r:embed="rId4"/>
        <a:stretch>
          <a:fillRect/>
        </a:stretch>
      </xdr:blipFill>
      <xdr:spPr>
        <a:xfrm>
          <a:off x="10248900" y="2583180"/>
          <a:ext cx="2698568" cy="19158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6</xdr:col>
      <xdr:colOff>0</xdr:colOff>
      <xdr:row>21</xdr:row>
      <xdr:rowOff>1926772</xdr:rowOff>
    </xdr:to>
    <xdr:pic>
      <xdr:nvPicPr>
        <xdr:cNvPr id="30" name="그림 29"/>
        <xdr:cNvPicPr>
          <a:picLocks noChangeAspect="1"/>
        </xdr:cNvPicPr>
      </xdr:nvPicPr>
      <xdr:blipFill rotWithShape="1">
        <a:blip xmlns:r="http://schemas.openxmlformats.org/officeDocument/2006/relationships" r:embed="rId5"/>
        <a:stretch>
          <a:fillRect/>
        </a:stretch>
      </xdr:blipFill>
      <xdr:spPr>
        <a:xfrm>
          <a:off x="769620" y="6355080"/>
          <a:ext cx="2651760" cy="192677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10</xdr:col>
      <xdr:colOff>0</xdr:colOff>
      <xdr:row>21</xdr:row>
      <xdr:rowOff>1922923</xdr:rowOff>
    </xdr:to>
    <xdr:pic>
      <xdr:nvPicPr>
        <xdr:cNvPr id="31" name="그림 30"/>
        <xdr:cNvPicPr>
          <a:picLocks noChangeAspect="1"/>
        </xdr:cNvPicPr>
      </xdr:nvPicPr>
      <xdr:blipFill rotWithShape="1">
        <a:blip xmlns:r="http://schemas.openxmlformats.org/officeDocument/2006/relationships" r:embed="rId6"/>
        <a:stretch>
          <a:fillRect/>
        </a:stretch>
      </xdr:blipFill>
      <xdr:spPr>
        <a:xfrm>
          <a:off x="3421380" y="6355080"/>
          <a:ext cx="2674620" cy="1922923"/>
        </a:xfrm>
        <a:prstGeom prst="rect">
          <a:avLst/>
        </a:prstGeom>
      </xdr:spPr>
    </xdr:pic>
    <xdr:clientData/>
  </xdr:twoCellAnchor>
  <xdr:twoCellAnchor editAs="oneCell">
    <xdr:from>
      <xdr:col>11</xdr:col>
      <xdr:colOff>761999</xdr:colOff>
      <xdr:row>21</xdr:row>
      <xdr:rowOff>1</xdr:rowOff>
    </xdr:from>
    <xdr:to>
      <xdr:col>15</xdr:col>
      <xdr:colOff>664027</xdr:colOff>
      <xdr:row>21</xdr:row>
      <xdr:rowOff>1938543</xdr:rowOff>
    </xdr:to>
    <xdr:pic>
      <xdr:nvPicPr>
        <xdr:cNvPr id="32" name="그림 31"/>
        <xdr:cNvPicPr>
          <a:picLocks noChangeAspect="1"/>
        </xdr:cNvPicPr>
      </xdr:nvPicPr>
      <xdr:blipFill rotWithShape="1">
        <a:blip xmlns:r="http://schemas.openxmlformats.org/officeDocument/2006/relationships" r:embed="rId7"/>
        <a:stretch>
          <a:fillRect/>
        </a:stretch>
      </xdr:blipFill>
      <xdr:spPr>
        <a:xfrm>
          <a:off x="7536179" y="6355081"/>
          <a:ext cx="2698568" cy="193854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21</xdr:row>
      <xdr:rowOff>0</xdr:rowOff>
    </xdr:from>
    <xdr:to>
      <xdr:col>19</xdr:col>
      <xdr:colOff>653142</xdr:colOff>
      <xdr:row>21</xdr:row>
      <xdr:rowOff>1938543</xdr:rowOff>
    </xdr:to>
    <xdr:pic>
      <xdr:nvPicPr>
        <xdr:cNvPr id="33" name="그림 32"/>
        <xdr:cNvPicPr>
          <a:picLocks noChangeAspect="1"/>
        </xdr:cNvPicPr>
      </xdr:nvPicPr>
      <xdr:blipFill rotWithShape="1">
        <a:blip xmlns:r="http://schemas.openxmlformats.org/officeDocument/2006/relationships" r:embed="rId8"/>
        <a:stretch>
          <a:fillRect/>
        </a:stretch>
      </xdr:blipFill>
      <xdr:spPr>
        <a:xfrm>
          <a:off x="10248900" y="6355080"/>
          <a:ext cx="2687682" cy="19385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1</xdr:rowOff>
    </xdr:from>
    <xdr:to>
      <xdr:col>6</xdr:col>
      <xdr:colOff>10886</xdr:colOff>
      <xdr:row>30</xdr:row>
      <xdr:rowOff>1926773</xdr:rowOff>
    </xdr:to>
    <xdr:pic>
      <xdr:nvPicPr>
        <xdr:cNvPr id="34" name="그림 33"/>
        <xdr:cNvPicPr>
          <a:picLocks noChangeAspect="1"/>
        </xdr:cNvPicPr>
      </xdr:nvPicPr>
      <xdr:blipFill rotWithShape="1">
        <a:blip xmlns:r="http://schemas.openxmlformats.org/officeDocument/2006/relationships" r:embed="rId9"/>
        <a:stretch>
          <a:fillRect/>
        </a:stretch>
      </xdr:blipFill>
      <xdr:spPr>
        <a:xfrm>
          <a:off x="769620" y="10096501"/>
          <a:ext cx="2662646" cy="192677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9</xdr:col>
      <xdr:colOff>685799</xdr:colOff>
      <xdr:row>30</xdr:row>
      <xdr:rowOff>1929677</xdr:rowOff>
    </xdr:to>
    <xdr:pic>
      <xdr:nvPicPr>
        <xdr:cNvPr id="35" name="그림 34"/>
        <xdr:cNvPicPr>
          <a:picLocks noChangeAspect="1"/>
        </xdr:cNvPicPr>
      </xdr:nvPicPr>
      <xdr:blipFill rotWithShape="1">
        <a:blip xmlns:r="http://schemas.openxmlformats.org/officeDocument/2006/relationships" r:embed="rId10"/>
        <a:stretch>
          <a:fillRect/>
        </a:stretch>
      </xdr:blipFill>
      <xdr:spPr>
        <a:xfrm>
          <a:off x="3421380" y="10096500"/>
          <a:ext cx="2674619" cy="1929677"/>
        </a:xfrm>
        <a:prstGeom prst="rect">
          <a:avLst/>
        </a:prstGeom>
      </xdr:spPr>
    </xdr:pic>
    <xdr:clientData/>
  </xdr:twoCellAnchor>
  <xdr:twoCellAnchor editAs="oneCell">
    <xdr:from>
      <xdr:col>11</xdr:col>
      <xdr:colOff>761999</xdr:colOff>
      <xdr:row>30</xdr:row>
      <xdr:rowOff>0</xdr:rowOff>
    </xdr:from>
    <xdr:to>
      <xdr:col>15</xdr:col>
      <xdr:colOff>664027</xdr:colOff>
      <xdr:row>30</xdr:row>
      <xdr:rowOff>1932520</xdr:rowOff>
    </xdr:to>
    <xdr:pic>
      <xdr:nvPicPr>
        <xdr:cNvPr id="36" name="그림 35"/>
        <xdr:cNvPicPr>
          <a:picLocks noChangeAspect="1"/>
        </xdr:cNvPicPr>
      </xdr:nvPicPr>
      <xdr:blipFill rotWithShape="1">
        <a:blip xmlns:r="http://schemas.openxmlformats.org/officeDocument/2006/relationships" r:embed="rId11"/>
        <a:stretch>
          <a:fillRect/>
        </a:stretch>
      </xdr:blipFill>
      <xdr:spPr>
        <a:xfrm>
          <a:off x="7536179" y="10096500"/>
          <a:ext cx="2698568" cy="193252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30</xdr:row>
      <xdr:rowOff>0</xdr:rowOff>
    </xdr:from>
    <xdr:to>
      <xdr:col>19</xdr:col>
      <xdr:colOff>653143</xdr:colOff>
      <xdr:row>30</xdr:row>
      <xdr:rowOff>1937657</xdr:rowOff>
    </xdr:to>
    <xdr:pic>
      <xdr:nvPicPr>
        <xdr:cNvPr id="37" name="그림 36"/>
        <xdr:cNvPicPr>
          <a:picLocks noChangeAspect="1"/>
        </xdr:cNvPicPr>
      </xdr:nvPicPr>
      <xdr:blipFill rotWithShape="1">
        <a:blip xmlns:r="http://schemas.openxmlformats.org/officeDocument/2006/relationships" r:embed="rId12"/>
        <a:stretch>
          <a:fillRect/>
        </a:stretch>
      </xdr:blipFill>
      <xdr:spPr>
        <a:xfrm>
          <a:off x="10248900" y="10096500"/>
          <a:ext cx="2687683" cy="19376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44823</xdr:colOff>
      <xdr:row>64</xdr:row>
      <xdr:rowOff>56030</xdr:rowOff>
    </xdr:from>
    <xdr:to>
      <xdr:col>12</xdr:col>
      <xdr:colOff>29135</xdr:colOff>
      <xdr:row>73</xdr:row>
      <xdr:rowOff>89647</xdr:rowOff>
    </xdr:to>
    <xdr:graphicFrame macro="">
      <xdr:nvGraphicFramePr>
        <xdr:cNvPr id="4" name="차트 3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8.bin"/><Relationship Id="rId4" Type="http://schemas.openxmlformats.org/officeDocument/2006/relationships/comments" Target="../comments5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25.bin"/><Relationship Id="rId1" Type="http://schemas.openxmlformats.org/officeDocument/2006/relationships/hyperlink" Target="../../../../../../../../../../../../../../../../../../../AppData/Roaming/minjung.byun/minjung.byun/AppData/Local/Microsoft/Windows/minjung.byun/AppData/Local/Microsoft/Windows/Temporary%20Internet%20Files/minjung.byun/AppData/Local/Microsoft/Windows/Temporary%20Internet%20Files/Content.Outlook/245FDSFK/&#44228;&#51340;&#49324;&#48376;/WFC_32_&#49340;&#49457;&#54868;&#51116;_&#51656;&#44428;&#49444;&#51221;&#44228;&#50557;&#49436;.pdf" TargetMode="External"/><Relationship Id="rId4" Type="http://schemas.openxmlformats.org/officeDocument/2006/relationships/comments" Target="../comments7.xm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comments" Target="../comments8.xml"/><Relationship Id="rId2" Type="http://schemas.openxmlformats.org/officeDocument/2006/relationships/vmlDrawing" Target="../drawings/vmlDrawing8.v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7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4"/>
  <sheetViews>
    <sheetView tabSelected="1" view="pageBreakPreview" topLeftCell="A7" zoomScale="70" zoomScaleNormal="55" zoomScaleSheetLayoutView="70" workbookViewId="0">
      <selection activeCell="T36" sqref="T36"/>
    </sheetView>
  </sheetViews>
  <sheetFormatPr defaultColWidth="8.75" defaultRowHeight="16.5"/>
  <cols>
    <col min="1" max="1" width="2.625" style="1" customWidth="1"/>
    <col min="2" max="3" width="10.5" style="1" customWidth="1"/>
    <col min="4" max="7" width="10.625" style="1" customWidth="1"/>
    <col min="8" max="8" width="12.125" style="1" customWidth="1"/>
    <col min="9" max="9" width="10.625" style="1" customWidth="1"/>
    <col min="10" max="10" width="3.625" style="1" customWidth="1"/>
    <col min="11" max="11" width="8.75" style="1"/>
    <col min="12" max="14" width="10.125" style="1" customWidth="1"/>
    <col min="15" max="16384" width="8.75" style="1"/>
  </cols>
  <sheetData>
    <row r="1" spans="1:10" ht="6" customHeight="1">
      <c r="A1" s="2"/>
      <c r="B1" s="3"/>
      <c r="C1" s="3"/>
      <c r="D1" s="3"/>
      <c r="E1" s="3"/>
      <c r="F1" s="3"/>
      <c r="G1" s="3"/>
      <c r="H1" s="3"/>
      <c r="I1" s="3"/>
      <c r="J1" s="2"/>
    </row>
    <row r="2" spans="1:10">
      <c r="A2" s="2"/>
      <c r="B2" s="2"/>
      <c r="C2" s="2"/>
      <c r="D2" s="2"/>
      <c r="E2" s="2"/>
      <c r="F2" s="2"/>
      <c r="G2" s="2"/>
      <c r="H2" s="2"/>
      <c r="I2" s="2"/>
      <c r="J2" s="2"/>
    </row>
    <row r="3" spans="1:10" s="944" customFormat="1" ht="27">
      <c r="B3" s="946" t="s">
        <v>2253</v>
      </c>
      <c r="C3" s="946"/>
      <c r="D3" s="945"/>
      <c r="E3" s="945"/>
      <c r="F3" s="945"/>
      <c r="G3" s="945"/>
      <c r="H3" s="945"/>
      <c r="I3" s="946"/>
    </row>
    <row r="4" spans="1:10" s="2" customFormat="1"/>
    <row r="5" spans="1:10" s="2" customFormat="1" ht="19.5">
      <c r="C5" s="2415" t="s">
        <v>0</v>
      </c>
      <c r="D5" s="2415"/>
      <c r="E5" s="2415"/>
      <c r="F5" s="2415"/>
      <c r="G5" s="2415"/>
      <c r="H5" s="2415"/>
    </row>
    <row r="6" spans="1:10" s="2" customFormat="1" ht="19.5">
      <c r="D6" s="2360"/>
      <c r="E6" s="2360"/>
      <c r="F6" s="2360"/>
      <c r="G6" s="2360"/>
      <c r="H6" s="2360"/>
    </row>
    <row r="7" spans="1:10" s="2" customFormat="1"/>
    <row r="8" spans="1:10" s="2" customFormat="1" ht="26.25">
      <c r="D8" s="2412"/>
      <c r="E8" s="2412"/>
      <c r="F8" s="2412"/>
      <c r="G8" s="2412"/>
      <c r="H8" s="2412"/>
    </row>
    <row r="9" spans="1:10" s="2" customFormat="1" ht="16.5" customHeight="1">
      <c r="D9" s="4"/>
      <c r="E9" s="4"/>
      <c r="F9" s="4"/>
      <c r="G9" s="4"/>
      <c r="H9" s="4"/>
    </row>
    <row r="10" spans="1:10" s="2" customFormat="1" ht="30" customHeight="1">
      <c r="D10" s="2413"/>
      <c r="E10" s="2413"/>
      <c r="F10" s="2413"/>
      <c r="G10" s="2413"/>
      <c r="H10" s="2413"/>
    </row>
    <row r="11" spans="1:10" s="2" customFormat="1" ht="17.25">
      <c r="D11" s="2414"/>
      <c r="E11" s="2414"/>
      <c r="F11" s="2414"/>
      <c r="G11" s="2414"/>
      <c r="H11" s="2414"/>
    </row>
    <row r="12" spans="1:10" s="2" customFormat="1" ht="17.25">
      <c r="D12" s="2414"/>
      <c r="E12" s="2414"/>
      <c r="F12" s="2414"/>
      <c r="G12" s="2414"/>
      <c r="H12" s="2414"/>
    </row>
    <row r="13" spans="1:10" s="2" customFormat="1"/>
    <row r="14" spans="1:10" s="2" customFormat="1"/>
    <row r="15" spans="1:10" s="2" customFormat="1"/>
    <row r="16" spans="1:10" s="2" customFormat="1"/>
    <row r="17" s="2" customFormat="1"/>
    <row r="18" s="2" customFormat="1"/>
    <row r="19" s="2" customFormat="1"/>
    <row r="20" s="2" customFormat="1"/>
    <row r="21" s="2" customFormat="1"/>
    <row r="22" s="2" customFormat="1"/>
    <row r="23" s="2" customFormat="1"/>
    <row r="24" s="2" customFormat="1"/>
    <row r="25" s="2" customFormat="1"/>
    <row r="26" s="2" customFormat="1"/>
    <row r="27" s="2" customFormat="1"/>
    <row r="28" s="2" customFormat="1"/>
    <row r="29" s="2" customFormat="1"/>
    <row r="30" s="2" customFormat="1"/>
    <row r="31" s="2" customFormat="1"/>
    <row r="32" s="2" customFormat="1"/>
    <row r="33" spans="2:15" s="2" customFormat="1"/>
    <row r="34" spans="2:15" s="2" customFormat="1"/>
    <row r="35" spans="2:15" s="2" customFormat="1">
      <c r="D35" s="959" t="s">
        <v>560</v>
      </c>
      <c r="E35" s="960"/>
      <c r="F35" s="961" t="s">
        <v>559</v>
      </c>
      <c r="G35" s="961"/>
    </row>
    <row r="36" spans="2:15" s="2" customFormat="1">
      <c r="D36" s="960" t="s">
        <v>561</v>
      </c>
      <c r="E36" s="960"/>
      <c r="F36" s="962" t="s">
        <v>1100</v>
      </c>
      <c r="G36" s="962"/>
    </row>
    <row r="37" spans="2:15" s="2" customFormat="1" ht="16.5" customHeight="1"/>
    <row r="38" spans="2:15" s="2" customFormat="1" ht="6.75" customHeight="1">
      <c r="D38" s="5"/>
      <c r="E38" s="5"/>
      <c r="F38" s="5"/>
      <c r="G38" s="5"/>
      <c r="H38" s="5"/>
      <c r="K38" s="3"/>
      <c r="L38" s="2411"/>
      <c r="M38" s="2411"/>
      <c r="N38" s="2411"/>
      <c r="O38" s="3"/>
    </row>
    <row r="39" spans="2:15" s="2" customFormat="1" ht="16.5" customHeight="1">
      <c r="D39" s="7"/>
      <c r="E39" s="7"/>
      <c r="F39" s="7"/>
      <c r="G39" s="7"/>
      <c r="H39" s="7"/>
      <c r="I39" s="7"/>
      <c r="K39" s="3"/>
      <c r="L39" s="2411"/>
      <c r="M39" s="2411"/>
      <c r="N39" s="2411"/>
      <c r="O39" s="3"/>
    </row>
    <row r="40" spans="2:15" s="2" customFormat="1" ht="16.5" customHeight="1">
      <c r="C40" s="2362" t="s">
        <v>2248</v>
      </c>
      <c r="D40" s="2363"/>
      <c r="E40" s="2363"/>
      <c r="F40" s="2363"/>
      <c r="G40" s="2363"/>
      <c r="H40" s="2364"/>
      <c r="I40" s="7"/>
      <c r="K40" s="3"/>
      <c r="L40" s="2411"/>
      <c r="M40" s="2411"/>
      <c r="N40" s="2411"/>
      <c r="O40" s="3"/>
    </row>
    <row r="41" spans="2:15" s="2" customFormat="1" ht="16.5" customHeight="1">
      <c r="C41" s="2365" t="s">
        <v>2249</v>
      </c>
      <c r="D41" s="947"/>
      <c r="E41" s="947"/>
      <c r="F41" s="947"/>
      <c r="G41" s="947"/>
      <c r="H41" s="948"/>
      <c r="I41" s="7"/>
      <c r="K41" s="3"/>
      <c r="L41" s="6"/>
      <c r="M41" s="6"/>
      <c r="N41" s="6"/>
      <c r="O41" s="3"/>
    </row>
    <row r="42" spans="2:15" s="2" customFormat="1" ht="16.5" customHeight="1">
      <c r="B42" s="7"/>
      <c r="C42" s="2366" t="s">
        <v>2250</v>
      </c>
      <c r="D42" s="2367"/>
      <c r="E42" s="2367"/>
      <c r="F42" s="2367"/>
      <c r="G42" s="2367"/>
      <c r="H42" s="2368"/>
      <c r="I42" s="7"/>
      <c r="K42" s="3"/>
      <c r="L42" s="3"/>
      <c r="M42" s="3"/>
      <c r="N42" s="3"/>
      <c r="O42" s="3"/>
    </row>
    <row r="43" spans="2:15" s="2" customFormat="1"/>
    <row r="44" spans="2:15" s="2" customFormat="1">
      <c r="B44" s="2410"/>
      <c r="C44" s="2410"/>
      <c r="D44" s="2410"/>
      <c r="E44" s="2410"/>
      <c r="F44" s="2410"/>
      <c r="G44" s="2410"/>
      <c r="H44" s="2410"/>
      <c r="I44" s="2410"/>
    </row>
  </sheetData>
  <mergeCells count="9">
    <mergeCell ref="C5:H5"/>
    <mergeCell ref="B44:I44"/>
    <mergeCell ref="N38:N40"/>
    <mergeCell ref="D8:H8"/>
    <mergeCell ref="D10:H10"/>
    <mergeCell ref="D11:H11"/>
    <mergeCell ref="D12:H12"/>
    <mergeCell ref="L38:L40"/>
    <mergeCell ref="M38:M40"/>
  </mergeCells>
  <phoneticPr fontId="6" type="noConversion"/>
  <pageMargins left="0.7" right="0.7" top="0.75" bottom="0.75" header="0.3" footer="0.3"/>
  <pageSetup paperSize="9" scale="84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79998168889431442"/>
  </sheetPr>
  <dimension ref="C1:BR204"/>
  <sheetViews>
    <sheetView showGridLines="0" view="pageBreakPreview" zoomScale="25" zoomScaleNormal="10" zoomScaleSheetLayoutView="25" workbookViewId="0">
      <selection activeCell="C3" sqref="C3"/>
    </sheetView>
  </sheetViews>
  <sheetFormatPr defaultColWidth="8.75" defaultRowHeight="15" outlineLevelRow="1"/>
  <cols>
    <col min="1" max="2" width="2.875" style="440" customWidth="1"/>
    <col min="3" max="3" width="9.875" style="440" customWidth="1"/>
    <col min="4" max="5" width="8.875" style="441" bestFit="1" customWidth="1"/>
    <col min="6" max="7" width="20.75" style="441" customWidth="1"/>
    <col min="8" max="8" width="20.75" style="693" customWidth="1"/>
    <col min="9" max="9" width="20.75" style="694" customWidth="1"/>
    <col min="10" max="10" width="20.75" style="695" customWidth="1"/>
    <col min="11" max="11" width="20.75" style="694" customWidth="1"/>
    <col min="12" max="12" width="10.75" style="694" customWidth="1"/>
    <col min="13" max="13" width="14.75" style="697" customWidth="1"/>
    <col min="14" max="15" width="14.75" style="699" customWidth="1"/>
    <col min="16" max="33" width="14.75" style="440" customWidth="1"/>
    <col min="34" max="36" width="15.75" style="440" customWidth="1"/>
    <col min="37" max="40" width="24.75" style="440" customWidth="1"/>
    <col min="41" max="43" width="24.75" style="459" customWidth="1"/>
    <col min="44" max="44" width="26.625" style="440" bestFit="1" customWidth="1"/>
    <col min="45" max="45" width="25.875" style="440" bestFit="1" customWidth="1"/>
    <col min="46" max="46" width="25.875" style="701" bestFit="1" customWidth="1"/>
    <col min="47" max="47" width="25.875" style="701" customWidth="1"/>
    <col min="48" max="49" width="25.875" style="440" bestFit="1" customWidth="1"/>
    <col min="50" max="50" width="20.75" style="459" customWidth="1"/>
    <col min="51" max="51" width="20.75" style="440" customWidth="1"/>
    <col min="52" max="52" width="25.875" style="440" bestFit="1" customWidth="1"/>
    <col min="53" max="54" width="15.75" style="440" customWidth="1"/>
    <col min="55" max="55" width="32.125" style="440" customWidth="1"/>
    <col min="56" max="58" width="14.75" style="440" customWidth="1"/>
    <col min="59" max="59" width="40.375" style="440" customWidth="1"/>
    <col min="60" max="60" width="56.25" style="440" customWidth="1"/>
    <col min="61" max="61" width="9.75" style="440" customWidth="1"/>
    <col min="62" max="62" width="34.5" style="440" customWidth="1"/>
    <col min="63" max="63" width="13" style="440" customWidth="1"/>
    <col min="64" max="64" width="45.375" style="440" customWidth="1"/>
    <col min="65" max="65" width="20.375" style="440" customWidth="1"/>
    <col min="66" max="66" width="13.125" style="440" customWidth="1"/>
    <col min="67" max="67" width="3.625" style="440" customWidth="1"/>
    <col min="68" max="68" width="16.625" style="440" customWidth="1"/>
    <col min="69" max="69" width="2.625" style="440" customWidth="1"/>
    <col min="70" max="16384" width="8.75" style="440"/>
  </cols>
  <sheetData>
    <row r="1" spans="3:68">
      <c r="H1" s="440"/>
      <c r="I1" s="442">
        <v>0.30249999999999999</v>
      </c>
      <c r="J1" s="440"/>
      <c r="K1" s="442">
        <v>0.30249999999999999</v>
      </c>
      <c r="L1" s="442"/>
      <c r="M1" s="440"/>
      <c r="N1" s="440"/>
      <c r="O1" s="440"/>
      <c r="P1" s="443">
        <v>12</v>
      </c>
      <c r="R1" s="444">
        <v>45427</v>
      </c>
      <c r="S1" s="445">
        <v>365</v>
      </c>
      <c r="T1" s="444"/>
      <c r="U1" s="444"/>
      <c r="V1" s="444"/>
      <c r="W1" s="444"/>
      <c r="X1" s="444"/>
      <c r="Y1" s="444"/>
      <c r="Z1" s="444"/>
      <c r="AA1" s="444"/>
      <c r="AB1" s="444"/>
      <c r="AC1" s="444"/>
      <c r="AD1" s="444"/>
      <c r="AE1" s="444"/>
      <c r="AF1" s="444"/>
      <c r="AG1" s="444"/>
      <c r="AO1" s="446"/>
      <c r="AP1" s="446"/>
      <c r="AQ1" s="446"/>
      <c r="AT1" s="440"/>
      <c r="AU1" s="440"/>
      <c r="AX1" s="440"/>
      <c r="BA1" s="442">
        <v>50</v>
      </c>
    </row>
    <row r="2" spans="3:68" s="447" customFormat="1" ht="40.15" customHeight="1">
      <c r="C2" s="2126" t="s">
        <v>2251</v>
      </c>
      <c r="D2" s="448"/>
      <c r="E2" s="448"/>
      <c r="F2" s="448"/>
      <c r="G2" s="448"/>
      <c r="AO2" s="449"/>
      <c r="AP2" s="449"/>
      <c r="AQ2" s="449"/>
    </row>
    <row r="3" spans="3:68">
      <c r="H3" s="440"/>
      <c r="I3" s="440"/>
      <c r="J3" s="440"/>
      <c r="K3" s="440"/>
      <c r="L3" s="440"/>
      <c r="M3" s="440"/>
      <c r="N3" s="440"/>
      <c r="O3" s="440"/>
      <c r="AO3" s="446"/>
      <c r="AP3" s="446"/>
      <c r="AQ3" s="446"/>
      <c r="AT3" s="450"/>
      <c r="AU3" s="450"/>
      <c r="AX3" s="440"/>
    </row>
    <row r="4" spans="3:68" ht="30.6" customHeight="1">
      <c r="C4" s="451"/>
      <c r="D4" s="452"/>
      <c r="E4" s="453"/>
      <c r="F4" s="454" t="s">
        <v>1704</v>
      </c>
      <c r="G4" s="455">
        <v>45505</v>
      </c>
      <c r="H4" s="454" t="s">
        <v>1705</v>
      </c>
      <c r="I4" s="950" t="s">
        <v>1706</v>
      </c>
      <c r="J4" s="454" t="s">
        <v>1707</v>
      </c>
      <c r="K4" s="1827">
        <v>92172.56</v>
      </c>
      <c r="L4" s="440"/>
      <c r="M4" s="440"/>
      <c r="N4" s="456"/>
      <c r="O4" s="456"/>
      <c r="P4" s="456"/>
      <c r="Q4" s="456"/>
      <c r="S4" s="457"/>
      <c r="U4" s="446"/>
      <c r="V4" s="450"/>
      <c r="AN4" s="458"/>
      <c r="AT4" s="450"/>
      <c r="AU4" s="450"/>
      <c r="AX4" s="440"/>
      <c r="BA4" s="460" t="s">
        <v>1708</v>
      </c>
      <c r="BB4" s="461">
        <v>110000</v>
      </c>
    </row>
    <row r="5" spans="3:68" ht="30.6" customHeight="1">
      <c r="C5" s="462" t="s">
        <v>1709</v>
      </c>
      <c r="D5" s="463"/>
      <c r="E5" s="464"/>
      <c r="F5" s="454" t="s">
        <v>1710</v>
      </c>
      <c r="G5" s="1828">
        <f>H108/$H$110</f>
        <v>0.99644522121266077</v>
      </c>
      <c r="H5" s="454" t="s">
        <v>1711</v>
      </c>
      <c r="I5" s="1828">
        <f>H109/$H$110</f>
        <v>3.5547787873391715E-3</v>
      </c>
      <c r="J5" s="465" t="s">
        <v>1712</v>
      </c>
      <c r="K5" s="1828">
        <v>0.03</v>
      </c>
      <c r="L5" s="440"/>
      <c r="M5" s="440"/>
      <c r="N5" s="456"/>
      <c r="O5" s="456"/>
      <c r="P5" s="456"/>
      <c r="Q5" s="456"/>
      <c r="S5" s="466"/>
      <c r="U5" s="446"/>
      <c r="V5" s="456"/>
      <c r="AN5" s="458"/>
      <c r="AT5" s="450"/>
      <c r="AU5" s="450"/>
      <c r="AX5" s="440"/>
      <c r="BA5" s="467"/>
      <c r="BB5" s="468"/>
    </row>
    <row r="6" spans="3:68" ht="30.6" customHeight="1">
      <c r="C6" s="469"/>
      <c r="D6" s="470"/>
      <c r="E6" s="471"/>
      <c r="F6" s="454" t="s">
        <v>1713</v>
      </c>
      <c r="G6" s="1829">
        <f>AF108</f>
        <v>247766.29942694388</v>
      </c>
      <c r="H6" s="472" t="s">
        <v>1714</v>
      </c>
      <c r="I6" s="1829">
        <f>AG108</f>
        <v>212069.20885130292</v>
      </c>
      <c r="J6" s="454" t="s">
        <v>1715</v>
      </c>
      <c r="K6" s="1830">
        <f>S108</f>
        <v>1.6077240468724205</v>
      </c>
      <c r="L6" s="440"/>
      <c r="M6" s="440"/>
      <c r="N6" s="456"/>
      <c r="O6" s="440"/>
      <c r="P6" s="456"/>
      <c r="AL6" s="467"/>
      <c r="AM6" s="473"/>
      <c r="AN6" s="458"/>
      <c r="AT6" s="450"/>
      <c r="AU6" s="450"/>
      <c r="AX6" s="440"/>
      <c r="BA6" s="467"/>
      <c r="BB6" s="474"/>
    </row>
    <row r="7" spans="3:68">
      <c r="H7" s="440"/>
      <c r="I7" s="440"/>
      <c r="J7" s="440"/>
      <c r="K7" s="440"/>
      <c r="L7" s="440"/>
      <c r="M7" s="440"/>
      <c r="N7" s="440"/>
      <c r="O7" s="440"/>
      <c r="AO7" s="446"/>
      <c r="AP7" s="446"/>
      <c r="AQ7" s="446"/>
      <c r="AT7" s="450"/>
      <c r="AU7" s="450"/>
      <c r="AX7" s="440"/>
    </row>
    <row r="8" spans="3:68">
      <c r="H8" s="440"/>
      <c r="I8" s="440"/>
      <c r="J8" s="440"/>
      <c r="K8" s="440"/>
      <c r="L8" s="440"/>
      <c r="M8" s="440"/>
      <c r="N8" s="440"/>
      <c r="O8" s="440"/>
      <c r="AO8" s="446"/>
      <c r="AP8" s="446"/>
      <c r="AQ8" s="446"/>
      <c r="AT8" s="450"/>
      <c r="AU8" s="450"/>
      <c r="AX8" s="440"/>
      <c r="BA8" s="475" t="s">
        <v>1716</v>
      </c>
      <c r="BB8" s="475"/>
      <c r="BC8" s="475"/>
      <c r="BD8" s="475"/>
      <c r="BE8" s="475"/>
      <c r="BF8" s="475"/>
      <c r="BG8" s="475"/>
      <c r="BH8" s="475"/>
      <c r="BI8" s="475"/>
      <c r="BJ8" s="475"/>
      <c r="BK8" s="475"/>
      <c r="BL8" s="475"/>
      <c r="BM8" s="475"/>
      <c r="BN8" s="475"/>
    </row>
    <row r="9" spans="3:68" s="476" customFormat="1" ht="25.15" customHeight="1">
      <c r="C9" s="2597" t="s">
        <v>1717</v>
      </c>
      <c r="D9" s="2597" t="s">
        <v>1718</v>
      </c>
      <c r="E9" s="2597" t="s">
        <v>1719</v>
      </c>
      <c r="F9" s="2597" t="s">
        <v>1720</v>
      </c>
      <c r="G9" s="2597" t="s">
        <v>1721</v>
      </c>
      <c r="H9" s="477" t="s">
        <v>1722</v>
      </c>
      <c r="I9" s="477"/>
      <c r="J9" s="477" t="s">
        <v>1723</v>
      </c>
      <c r="K9" s="477"/>
      <c r="L9" s="477" t="s">
        <v>1724</v>
      </c>
      <c r="M9" s="477" t="s">
        <v>1725</v>
      </c>
      <c r="N9" s="477"/>
      <c r="O9" s="477"/>
      <c r="P9" s="477"/>
      <c r="Q9" s="477"/>
      <c r="R9" s="477"/>
      <c r="S9" s="477"/>
      <c r="T9" s="477" t="s">
        <v>1726</v>
      </c>
      <c r="U9" s="477"/>
      <c r="V9" s="477"/>
      <c r="W9" s="477"/>
      <c r="X9" s="477" t="s">
        <v>1727</v>
      </c>
      <c r="Y9" s="477"/>
      <c r="Z9" s="477" t="s">
        <v>1728</v>
      </c>
      <c r="AA9" s="477"/>
      <c r="AB9" s="477" t="s">
        <v>1729</v>
      </c>
      <c r="AC9" s="477"/>
      <c r="AD9" s="477" t="s">
        <v>1730</v>
      </c>
      <c r="AE9" s="477"/>
      <c r="AF9" s="478" t="s">
        <v>1731</v>
      </c>
      <c r="AG9" s="477"/>
      <c r="AH9" s="2002" t="s">
        <v>1732</v>
      </c>
      <c r="AI9" s="2002" t="s">
        <v>1733</v>
      </c>
      <c r="AJ9" s="2002" t="s">
        <v>1734</v>
      </c>
      <c r="AK9" s="477" t="s">
        <v>1732</v>
      </c>
      <c r="AL9" s="477"/>
      <c r="AM9" s="477"/>
      <c r="AN9" s="477"/>
      <c r="AO9" s="479"/>
      <c r="AP9" s="479"/>
      <c r="AQ9" s="479"/>
      <c r="AR9" s="477" t="s">
        <v>1733</v>
      </c>
      <c r="AS9" s="477"/>
      <c r="AT9" s="477"/>
      <c r="AU9" s="477"/>
      <c r="AV9" s="477" t="s">
        <v>1734</v>
      </c>
      <c r="AW9" s="477"/>
      <c r="AX9" s="477"/>
      <c r="AY9" s="477" t="s">
        <v>1735</v>
      </c>
      <c r="AZ9" s="477"/>
      <c r="BA9" s="477" t="s">
        <v>1736</v>
      </c>
      <c r="BB9" s="477"/>
      <c r="BC9" s="477" t="s">
        <v>1737</v>
      </c>
      <c r="BD9" s="477" t="s">
        <v>1738</v>
      </c>
      <c r="BE9" s="477"/>
      <c r="BF9" s="477"/>
      <c r="BG9" s="477" t="s">
        <v>1739</v>
      </c>
      <c r="BH9" s="477"/>
      <c r="BI9" s="477"/>
      <c r="BJ9" s="477"/>
      <c r="BK9" s="2597" t="s">
        <v>1740</v>
      </c>
      <c r="BL9" s="477" t="s">
        <v>1741</v>
      </c>
      <c r="BM9" s="477"/>
      <c r="BN9" s="2597" t="s">
        <v>1742</v>
      </c>
      <c r="BO9" s="480"/>
      <c r="BP9" s="480"/>
    </row>
    <row r="10" spans="3:68" s="476" customFormat="1" ht="25.15" customHeight="1">
      <c r="C10" s="2598"/>
      <c r="D10" s="2598"/>
      <c r="E10" s="2598"/>
      <c r="F10" s="2598"/>
      <c r="G10" s="2598"/>
      <c r="H10" s="2597" t="s">
        <v>1743</v>
      </c>
      <c r="I10" s="2597" t="s">
        <v>1744</v>
      </c>
      <c r="J10" s="2597" t="s">
        <v>1743</v>
      </c>
      <c r="K10" s="2597" t="s">
        <v>1744</v>
      </c>
      <c r="L10" s="2597" t="s">
        <v>1745</v>
      </c>
      <c r="M10" s="2597" t="s">
        <v>1746</v>
      </c>
      <c r="N10" s="2597" t="s">
        <v>1747</v>
      </c>
      <c r="O10" s="2597" t="s">
        <v>1748</v>
      </c>
      <c r="P10" s="2597" t="s">
        <v>1749</v>
      </c>
      <c r="Q10" s="2597" t="s">
        <v>1750</v>
      </c>
      <c r="R10" s="2599" t="s">
        <v>1751</v>
      </c>
      <c r="S10" s="2597" t="s">
        <v>1752</v>
      </c>
      <c r="T10" s="2597" t="s">
        <v>1748</v>
      </c>
      <c r="U10" s="2597" t="s">
        <v>1749</v>
      </c>
      <c r="V10" s="2597" t="s">
        <v>1750</v>
      </c>
      <c r="W10" s="2597" t="s">
        <v>1753</v>
      </c>
      <c r="X10" s="2597" t="s">
        <v>1750</v>
      </c>
      <c r="Y10" s="2597" t="s">
        <v>1754</v>
      </c>
      <c r="Z10" s="2597" t="s">
        <v>1750</v>
      </c>
      <c r="AA10" s="2597" t="s">
        <v>1755</v>
      </c>
      <c r="AB10" s="2597" t="s">
        <v>1756</v>
      </c>
      <c r="AC10" s="2597" t="s">
        <v>1757</v>
      </c>
      <c r="AD10" s="2597" t="s">
        <v>1758</v>
      </c>
      <c r="AE10" s="2597" t="s">
        <v>1759</v>
      </c>
      <c r="AF10" s="2597" t="s">
        <v>1760</v>
      </c>
      <c r="AG10" s="2599" t="s">
        <v>1761</v>
      </c>
      <c r="AH10" s="2599" t="s">
        <v>1744</v>
      </c>
      <c r="AI10" s="2599" t="s">
        <v>1744</v>
      </c>
      <c r="AJ10" s="2599" t="s">
        <v>1744</v>
      </c>
      <c r="AK10" s="2597" t="s">
        <v>1762</v>
      </c>
      <c r="AL10" s="2597" t="s">
        <v>1763</v>
      </c>
      <c r="AM10" s="477" t="s">
        <v>1764</v>
      </c>
      <c r="AN10" s="477"/>
      <c r="AO10" s="479"/>
      <c r="AP10" s="479"/>
      <c r="AQ10" s="479"/>
      <c r="AR10" s="481" t="s">
        <v>1765</v>
      </c>
      <c r="AS10" s="481"/>
      <c r="AT10" s="2599" t="s">
        <v>1766</v>
      </c>
      <c r="AU10" s="2599" t="s">
        <v>1767</v>
      </c>
      <c r="AV10" s="481" t="s">
        <v>1765</v>
      </c>
      <c r="AW10" s="481"/>
      <c r="AX10" s="2597" t="s">
        <v>1759</v>
      </c>
      <c r="AY10" s="2597" t="s">
        <v>1744</v>
      </c>
      <c r="AZ10" s="2597" t="s">
        <v>1759</v>
      </c>
      <c r="BA10" s="2599" t="s">
        <v>1768</v>
      </c>
      <c r="BB10" s="2599" t="s">
        <v>1769</v>
      </c>
      <c r="BC10" s="2597" t="s">
        <v>1770</v>
      </c>
      <c r="BD10" s="2597" t="s">
        <v>1732</v>
      </c>
      <c r="BE10" s="2597" t="s">
        <v>1733</v>
      </c>
      <c r="BF10" s="2597" t="s">
        <v>1734</v>
      </c>
      <c r="BG10" s="2597" t="s">
        <v>1771</v>
      </c>
      <c r="BH10" s="2597" t="s">
        <v>1772</v>
      </c>
      <c r="BI10" s="2597" t="s">
        <v>1773</v>
      </c>
      <c r="BJ10" s="2597" t="s">
        <v>1774</v>
      </c>
      <c r="BK10" s="2598"/>
      <c r="BL10" s="2597" t="s">
        <v>1775</v>
      </c>
      <c r="BM10" s="2597" t="s">
        <v>1672</v>
      </c>
      <c r="BN10" s="2598"/>
      <c r="BO10" s="480"/>
      <c r="BP10" s="480"/>
    </row>
    <row r="11" spans="3:68" s="476" customFormat="1" ht="25.15" customHeight="1">
      <c r="C11" s="2598"/>
      <c r="D11" s="2598"/>
      <c r="E11" s="2598"/>
      <c r="F11" s="2598"/>
      <c r="G11" s="2598"/>
      <c r="H11" s="2598"/>
      <c r="I11" s="2598"/>
      <c r="J11" s="2598"/>
      <c r="K11" s="2598"/>
      <c r="L11" s="2598"/>
      <c r="M11" s="2598"/>
      <c r="N11" s="2598"/>
      <c r="O11" s="2598"/>
      <c r="P11" s="2598"/>
      <c r="Q11" s="2598"/>
      <c r="R11" s="2598"/>
      <c r="S11" s="2598"/>
      <c r="T11" s="2598"/>
      <c r="U11" s="2598"/>
      <c r="V11" s="2598"/>
      <c r="W11" s="2598"/>
      <c r="X11" s="2598"/>
      <c r="Y11" s="2598"/>
      <c r="Z11" s="2598"/>
      <c r="AA11" s="2598"/>
      <c r="AB11" s="2598"/>
      <c r="AC11" s="2598"/>
      <c r="AD11" s="2598"/>
      <c r="AE11" s="2598"/>
      <c r="AF11" s="2598"/>
      <c r="AG11" s="2598"/>
      <c r="AH11" s="2600"/>
      <c r="AI11" s="2600"/>
      <c r="AJ11" s="2600"/>
      <c r="AK11" s="2598"/>
      <c r="AL11" s="2601"/>
      <c r="AM11" s="477" t="s">
        <v>1776</v>
      </c>
      <c r="AN11" s="477"/>
      <c r="AO11" s="479" t="s">
        <v>1777</v>
      </c>
      <c r="AP11" s="479"/>
      <c r="AQ11" s="479"/>
      <c r="AR11" s="2597" t="s">
        <v>1760</v>
      </c>
      <c r="AS11" s="2597" t="s">
        <v>1778</v>
      </c>
      <c r="AT11" s="2598"/>
      <c r="AU11" s="2598"/>
      <c r="AV11" s="2597" t="s">
        <v>1760</v>
      </c>
      <c r="AW11" s="2597" t="s">
        <v>1778</v>
      </c>
      <c r="AX11" s="2598"/>
      <c r="AY11" s="2598"/>
      <c r="AZ11" s="2598"/>
      <c r="BA11" s="2600"/>
      <c r="BB11" s="2598"/>
      <c r="BC11" s="2598"/>
      <c r="BD11" s="2598"/>
      <c r="BE11" s="2598"/>
      <c r="BF11" s="2598"/>
      <c r="BG11" s="2598"/>
      <c r="BH11" s="2598"/>
      <c r="BI11" s="2598"/>
      <c r="BJ11" s="2598"/>
      <c r="BK11" s="2598"/>
      <c r="BL11" s="2598"/>
      <c r="BM11" s="2598"/>
      <c r="BN11" s="2598"/>
      <c r="BO11" s="480"/>
      <c r="BP11" s="480"/>
    </row>
    <row r="12" spans="3:68" s="476" customFormat="1" ht="45.6" customHeight="1">
      <c r="C12" s="2601"/>
      <c r="D12" s="2601"/>
      <c r="E12" s="2601"/>
      <c r="F12" s="2601"/>
      <c r="G12" s="2601"/>
      <c r="H12" s="2601"/>
      <c r="I12" s="2601"/>
      <c r="J12" s="2601"/>
      <c r="K12" s="2601"/>
      <c r="L12" s="2601"/>
      <c r="M12" s="2601"/>
      <c r="N12" s="2601"/>
      <c r="O12" s="2601"/>
      <c r="P12" s="2601"/>
      <c r="Q12" s="2601"/>
      <c r="R12" s="2601"/>
      <c r="S12" s="2601"/>
      <c r="T12" s="2601"/>
      <c r="U12" s="2601"/>
      <c r="V12" s="2601"/>
      <c r="W12" s="2601"/>
      <c r="X12" s="2601"/>
      <c r="Y12" s="2601"/>
      <c r="Z12" s="2601"/>
      <c r="AA12" s="2601"/>
      <c r="AB12" s="2601"/>
      <c r="AC12" s="2601"/>
      <c r="AD12" s="2601"/>
      <c r="AE12" s="2601"/>
      <c r="AF12" s="2601"/>
      <c r="AG12" s="2601"/>
      <c r="AH12" s="2617"/>
      <c r="AI12" s="2617"/>
      <c r="AJ12" s="2617"/>
      <c r="AK12" s="2601"/>
      <c r="AL12" s="482" t="s">
        <v>1779</v>
      </c>
      <c r="AM12" s="2001" t="s">
        <v>1780</v>
      </c>
      <c r="AN12" s="2001" t="s">
        <v>1781</v>
      </c>
      <c r="AO12" s="483" t="s">
        <v>1782</v>
      </c>
      <c r="AP12" s="484" t="s">
        <v>1783</v>
      </c>
      <c r="AQ12" s="484" t="s">
        <v>1784</v>
      </c>
      <c r="AR12" s="2601"/>
      <c r="AS12" s="2601"/>
      <c r="AT12" s="2601"/>
      <c r="AU12" s="2601"/>
      <c r="AV12" s="2601"/>
      <c r="AW12" s="2601"/>
      <c r="AX12" s="2601"/>
      <c r="AY12" s="2601"/>
      <c r="AZ12" s="2601"/>
      <c r="BA12" s="2617"/>
      <c r="BB12" s="2601"/>
      <c r="BC12" s="2601"/>
      <c r="BD12" s="2601"/>
      <c r="BE12" s="2601"/>
      <c r="BF12" s="2601"/>
      <c r="BG12" s="2601"/>
      <c r="BH12" s="2601"/>
      <c r="BI12" s="2601"/>
      <c r="BJ12" s="2601"/>
      <c r="BK12" s="2601"/>
      <c r="BL12" s="2601"/>
      <c r="BM12" s="2601"/>
      <c r="BN12" s="2601"/>
      <c r="BO12" s="480"/>
      <c r="BP12" s="480"/>
    </row>
    <row r="13" spans="3:68" ht="40.15" customHeight="1" outlineLevel="1">
      <c r="C13" s="2607" t="s">
        <v>1785</v>
      </c>
      <c r="D13" s="485">
        <v>40</v>
      </c>
      <c r="E13" s="485"/>
      <c r="F13" s="485" t="s">
        <v>1786</v>
      </c>
      <c r="G13" s="486" t="s">
        <v>1787</v>
      </c>
      <c r="H13" s="487">
        <v>2647.53</v>
      </c>
      <c r="I13" s="488">
        <f>H13*$I$1</f>
        <v>800.87782500000003</v>
      </c>
      <c r="J13" s="489">
        <v>1132.9100000000001</v>
      </c>
      <c r="K13" s="488">
        <f>J13*$K$1</f>
        <v>342.70527500000003</v>
      </c>
      <c r="L13" s="490">
        <f>J13/H13</f>
        <v>0.42791205387663217</v>
      </c>
      <c r="M13" s="455">
        <v>41625</v>
      </c>
      <c r="N13" s="455">
        <v>43831</v>
      </c>
      <c r="O13" s="455">
        <v>45657</v>
      </c>
      <c r="P13" s="491">
        <f>Q13/$P$1</f>
        <v>5</v>
      </c>
      <c r="Q13" s="492">
        <f>DATEDIF(N13,O13,"m")+1</f>
        <v>60</v>
      </c>
      <c r="R13" s="493">
        <f>IFERROR(DATEDIF($R$1,O13,"m"),0)</f>
        <v>7</v>
      </c>
      <c r="S13" s="494">
        <f>(O13-$G$4)*$H13/$H13/$S$1</f>
        <v>0.41643835616438357</v>
      </c>
      <c r="T13" s="455">
        <v>45657</v>
      </c>
      <c r="U13" s="491">
        <f>V13/$P$1</f>
        <v>5</v>
      </c>
      <c r="V13" s="492">
        <f t="shared" ref="V13:V21" si="0">DATEDIF(N13,T13,"m")+1</f>
        <v>60</v>
      </c>
      <c r="W13" s="492">
        <f t="shared" ref="W13:W76" si="1">IFERROR(DATEDIF($R$1,T13,"m"),"만료")</f>
        <v>7</v>
      </c>
      <c r="X13" s="495">
        <v>6</v>
      </c>
      <c r="Y13" s="496">
        <f>EDATE($O13,-X13)</f>
        <v>45473</v>
      </c>
      <c r="Z13" s="497">
        <v>14</v>
      </c>
      <c r="AA13" s="498">
        <f t="shared" ref="AA13:AA33" si="2">Z13/Q13*12</f>
        <v>2.8</v>
      </c>
      <c r="AB13" s="499">
        <v>0</v>
      </c>
      <c r="AC13" s="500"/>
      <c r="AD13" s="501">
        <f t="shared" ref="AD13:AD34" si="3">AE13/K13</f>
        <v>0</v>
      </c>
      <c r="AE13" s="502">
        <v>0</v>
      </c>
      <c r="AF13" s="501">
        <f>IF(ISERROR((SUM(AR13,AV13)/Q13+AK13*$K$5/12)/K13),0,(SUM(AR13,AV13)/Q13+AK13*$K$5/12)/K13)</f>
        <v>206593.20798430342</v>
      </c>
      <c r="AG13" s="501">
        <f t="shared" ref="AG13:AG76" si="4">IF(ISERROR((SUM(AS13,AW13-AE13)/Q13+AK13*$K$5/12)/K13),0,(SUM(AS13,AW13-AE13)/Q13+AK13*$K$5/12)/K13)</f>
        <v>176501.66665204961</v>
      </c>
      <c r="AH13" s="501">
        <f t="shared" ref="AH13:AH34" si="5">AK13/I13</f>
        <v>318375.79477098194</v>
      </c>
      <c r="AI13" s="501">
        <f t="shared" ref="AI13:AI33" si="6">AT13/I13</f>
        <v>55185.142524849791</v>
      </c>
      <c r="AJ13" s="501">
        <f t="shared" ref="AJ13:AJ62" si="7">AX13/I13</f>
        <v>32422.641933748269</v>
      </c>
      <c r="AK13" s="501">
        <f>SUM(AL13,AM13,AN13)</f>
        <v>254980114.04883042</v>
      </c>
      <c r="AL13" s="501">
        <f>SUM(AO13:AQ13)</f>
        <v>0</v>
      </c>
      <c r="AM13" s="502">
        <v>254980114.04883042</v>
      </c>
      <c r="AN13" s="501"/>
      <c r="AO13" s="502"/>
      <c r="AP13" s="502"/>
      <c r="AQ13" s="502"/>
      <c r="AR13" s="501">
        <f t="shared" ref="AR13:AR33" si="8">Q13*I13*AI13</f>
        <v>2651793415.0570025</v>
      </c>
      <c r="AS13" s="501">
        <f t="shared" ref="AS13:AS33" si="9">(Q13-Z13-AB13)*I13*AI13</f>
        <v>2033041618.2103686</v>
      </c>
      <c r="AT13" s="502">
        <v>44196556.91761671</v>
      </c>
      <c r="AU13" s="503">
        <f>IF(ISERROR(AS13/Q13),0,AS13/Q13)</f>
        <v>33884026.970172808</v>
      </c>
      <c r="AV13" s="501">
        <f t="shared" ref="AV13:AV33" si="10">Q13*I13*AJ13</f>
        <v>1557994497.1592467</v>
      </c>
      <c r="AW13" s="504">
        <f t="shared" ref="AW13:AW33" si="11">(Q13-AC13)*I13*AJ13</f>
        <v>1557994497.1592467</v>
      </c>
      <c r="AX13" s="502">
        <v>25966574.952654108</v>
      </c>
      <c r="AY13" s="501">
        <f t="shared" ref="AY13:AY62" si="12">AZ13/I13</f>
        <v>87607.784458598064</v>
      </c>
      <c r="AZ13" s="501">
        <f t="shared" ref="AZ13:AZ62" si="13">SUM(AT13,AX13)</f>
        <v>70163131.870270818</v>
      </c>
      <c r="BA13" s="505">
        <f t="shared" ref="BA13:BA33" si="14">ROUND(I13/$BA$1,)</f>
        <v>16</v>
      </c>
      <c r="BB13" s="506">
        <v>16.408023579262931</v>
      </c>
      <c r="BC13" s="507" t="s">
        <v>1788</v>
      </c>
      <c r="BD13" s="455" t="s">
        <v>1789</v>
      </c>
      <c r="BE13" s="508"/>
      <c r="BF13" s="509">
        <f t="shared" ref="BF13:BF76" si="15">BE13</f>
        <v>0</v>
      </c>
      <c r="BG13" s="486" t="s">
        <v>1790</v>
      </c>
      <c r="BH13" s="510" t="s">
        <v>1791</v>
      </c>
      <c r="BI13" s="511">
        <v>0.19</v>
      </c>
      <c r="BJ13" s="512" t="s">
        <v>1792</v>
      </c>
      <c r="BK13" s="513">
        <v>15</v>
      </c>
      <c r="BL13" s="2003" t="s">
        <v>1793</v>
      </c>
      <c r="BM13" s="514"/>
      <c r="BN13" s="515" t="s">
        <v>1794</v>
      </c>
      <c r="BO13" s="516"/>
      <c r="BP13" s="516"/>
    </row>
    <row r="14" spans="3:68" ht="40.15" customHeight="1" outlineLevel="1">
      <c r="C14" s="2608"/>
      <c r="D14" s="485">
        <v>39</v>
      </c>
      <c r="E14" s="485"/>
      <c r="F14" s="485" t="s">
        <v>1786</v>
      </c>
      <c r="G14" s="486" t="s">
        <v>1787</v>
      </c>
      <c r="H14" s="487">
        <v>2627.62</v>
      </c>
      <c r="I14" s="488">
        <f t="shared" ref="I14:I104" si="16">H14*$I$1</f>
        <v>794.85504999999989</v>
      </c>
      <c r="J14" s="489">
        <v>1124.83</v>
      </c>
      <c r="K14" s="488">
        <f t="shared" ref="K14:K104" si="17">J14*$K$1</f>
        <v>340.26107499999995</v>
      </c>
      <c r="L14" s="490">
        <f t="shared" ref="L14:L33" si="18">J14/H14</f>
        <v>0.4280794026533517</v>
      </c>
      <c r="M14" s="455">
        <v>41625</v>
      </c>
      <c r="N14" s="455">
        <v>43831</v>
      </c>
      <c r="O14" s="455">
        <v>45657</v>
      </c>
      <c r="P14" s="491">
        <f t="shared" ref="P14:P33" si="19">Q14/$P$1</f>
        <v>5</v>
      </c>
      <c r="Q14" s="492">
        <f t="shared" ref="Q14:Q103" si="20">DATEDIF(N14,O14,"m")+1</f>
        <v>60</v>
      </c>
      <c r="R14" s="493">
        <f t="shared" ref="R14:R33" si="21">IFERROR(DATEDIF($R$1,O14,"m"),0)</f>
        <v>7</v>
      </c>
      <c r="S14" s="494">
        <f t="shared" ref="S14:S33" si="22">(O14-$G$4)*$H14/$H14/$S$1</f>
        <v>0.41643835616438357</v>
      </c>
      <c r="T14" s="455">
        <v>45657</v>
      </c>
      <c r="U14" s="491">
        <f t="shared" ref="U14:U33" si="23">V14/$P$1</f>
        <v>5</v>
      </c>
      <c r="V14" s="492">
        <f t="shared" si="0"/>
        <v>60</v>
      </c>
      <c r="W14" s="492">
        <f t="shared" si="1"/>
        <v>7</v>
      </c>
      <c r="X14" s="495">
        <v>6</v>
      </c>
      <c r="Y14" s="496">
        <f t="shared" ref="Y14:Y77" si="24">EDATE($O14,-X14)</f>
        <v>45473</v>
      </c>
      <c r="Z14" s="497">
        <v>14</v>
      </c>
      <c r="AA14" s="498">
        <f t="shared" si="2"/>
        <v>2.8</v>
      </c>
      <c r="AB14" s="499">
        <v>0</v>
      </c>
      <c r="AC14" s="500"/>
      <c r="AD14" s="501">
        <f t="shared" si="3"/>
        <v>0</v>
      </c>
      <c r="AE14" s="502">
        <v>0</v>
      </c>
      <c r="AF14" s="501">
        <f t="shared" ref="AF14:AF77" si="25">IF(ISERROR((SUM(AR14,AV14)/Q14+AK14*$K$5/12)/K14),0,(SUM(AR14,AV14)/Q14+AK14*$K$5/12)/K14)</f>
        <v>206512.44464829506</v>
      </c>
      <c r="AG14" s="501">
        <f t="shared" si="4"/>
        <v>176432.66698091364</v>
      </c>
      <c r="AH14" s="501">
        <f t="shared" si="5"/>
        <v>318375.794770982</v>
      </c>
      <c r="AI14" s="501">
        <f t="shared" si="6"/>
        <v>55185.142524849791</v>
      </c>
      <c r="AJ14" s="501">
        <f t="shared" si="7"/>
        <v>32422.641933748269</v>
      </c>
      <c r="AK14" s="501">
        <f t="shared" ref="AK14:AK33" si="26">SUM(AL14,AM14,AN14)</f>
        <v>253062608.27147859</v>
      </c>
      <c r="AL14" s="501">
        <f t="shared" ref="AL14:AL77" si="27">SUM(AO14:AQ14)</f>
        <v>0</v>
      </c>
      <c r="AM14" s="502">
        <v>253062608.27147859</v>
      </c>
      <c r="AN14" s="501"/>
      <c r="AO14" s="502"/>
      <c r="AP14" s="502"/>
      <c r="AQ14" s="502"/>
      <c r="AR14" s="501">
        <f t="shared" si="8"/>
        <v>2631851353.2507958</v>
      </c>
      <c r="AS14" s="501">
        <f t="shared" si="9"/>
        <v>2017752704.1589437</v>
      </c>
      <c r="AT14" s="502">
        <v>43864189.220846601</v>
      </c>
      <c r="AU14" s="503">
        <f t="shared" ref="AU14:AU77" si="28">IF(ISERROR(AS14/Q14),0,AS14/Q14)</f>
        <v>33629211.735982396</v>
      </c>
      <c r="AV14" s="501">
        <f t="shared" si="10"/>
        <v>1546278040.5228944</v>
      </c>
      <c r="AW14" s="504">
        <f t="shared" si="11"/>
        <v>1546278040.5228944</v>
      </c>
      <c r="AX14" s="502">
        <v>25771300.675381575</v>
      </c>
      <c r="AY14" s="501">
        <f t="shared" si="12"/>
        <v>87607.784458598064</v>
      </c>
      <c r="AZ14" s="501">
        <f t="shared" si="13"/>
        <v>69635489.896228179</v>
      </c>
      <c r="BA14" s="505">
        <f t="shared" si="14"/>
        <v>16</v>
      </c>
      <c r="BB14" s="506">
        <v>16.284631682112334</v>
      </c>
      <c r="BC14" s="507" t="s">
        <v>1788</v>
      </c>
      <c r="BD14" s="455" t="s">
        <v>1789</v>
      </c>
      <c r="BE14" s="508"/>
      <c r="BF14" s="509">
        <f t="shared" si="15"/>
        <v>0</v>
      </c>
      <c r="BG14" s="486" t="s">
        <v>1790</v>
      </c>
      <c r="BH14" s="510" t="s">
        <v>1791</v>
      </c>
      <c r="BI14" s="511">
        <v>0.19</v>
      </c>
      <c r="BJ14" s="512" t="s">
        <v>1792</v>
      </c>
      <c r="BK14" s="513">
        <v>15</v>
      </c>
      <c r="BL14" s="2003" t="s">
        <v>1793</v>
      </c>
      <c r="BM14" s="514"/>
      <c r="BN14" s="515" t="s">
        <v>1794</v>
      </c>
      <c r="BO14" s="516"/>
      <c r="BP14" s="516"/>
    </row>
    <row r="15" spans="3:68" ht="40.15" customHeight="1" outlineLevel="1">
      <c r="C15" s="2608"/>
      <c r="D15" s="485">
        <v>38</v>
      </c>
      <c r="E15" s="485"/>
      <c r="F15" s="485" t="s">
        <v>1786</v>
      </c>
      <c r="G15" s="486" t="s">
        <v>1787</v>
      </c>
      <c r="H15" s="487">
        <v>2627.62</v>
      </c>
      <c r="I15" s="488">
        <f t="shared" si="16"/>
        <v>794.85504999999989</v>
      </c>
      <c r="J15" s="489">
        <v>1124.83</v>
      </c>
      <c r="K15" s="488">
        <f t="shared" si="17"/>
        <v>340.26107499999995</v>
      </c>
      <c r="L15" s="490">
        <f t="shared" si="18"/>
        <v>0.4280794026533517</v>
      </c>
      <c r="M15" s="455">
        <v>41625</v>
      </c>
      <c r="N15" s="455">
        <v>43831</v>
      </c>
      <c r="O15" s="455">
        <v>45657</v>
      </c>
      <c r="P15" s="491">
        <f t="shared" si="19"/>
        <v>5</v>
      </c>
      <c r="Q15" s="492">
        <f t="shared" si="20"/>
        <v>60</v>
      </c>
      <c r="R15" s="493">
        <f t="shared" si="21"/>
        <v>7</v>
      </c>
      <c r="S15" s="494">
        <f t="shared" si="22"/>
        <v>0.41643835616438357</v>
      </c>
      <c r="T15" s="455">
        <v>45657</v>
      </c>
      <c r="U15" s="491">
        <f t="shared" si="23"/>
        <v>5</v>
      </c>
      <c r="V15" s="492">
        <f t="shared" si="0"/>
        <v>60</v>
      </c>
      <c r="W15" s="492">
        <f t="shared" si="1"/>
        <v>7</v>
      </c>
      <c r="X15" s="495">
        <v>6</v>
      </c>
      <c r="Y15" s="496">
        <f t="shared" si="24"/>
        <v>45473</v>
      </c>
      <c r="Z15" s="497">
        <v>14</v>
      </c>
      <c r="AA15" s="498">
        <f t="shared" si="2"/>
        <v>2.8</v>
      </c>
      <c r="AB15" s="499">
        <v>0</v>
      </c>
      <c r="AC15" s="500"/>
      <c r="AD15" s="501">
        <f t="shared" si="3"/>
        <v>0</v>
      </c>
      <c r="AE15" s="502">
        <v>0</v>
      </c>
      <c r="AF15" s="501">
        <f t="shared" si="25"/>
        <v>206512.44464829506</v>
      </c>
      <c r="AG15" s="501">
        <f t="shared" si="4"/>
        <v>176432.66698091364</v>
      </c>
      <c r="AH15" s="501">
        <f t="shared" si="5"/>
        <v>318375.794770982</v>
      </c>
      <c r="AI15" s="501">
        <f t="shared" si="6"/>
        <v>55185.142524849791</v>
      </c>
      <c r="AJ15" s="501">
        <f t="shared" si="7"/>
        <v>32422.641933748269</v>
      </c>
      <c r="AK15" s="501">
        <f t="shared" si="26"/>
        <v>253062608.27147859</v>
      </c>
      <c r="AL15" s="501">
        <f t="shared" si="27"/>
        <v>0</v>
      </c>
      <c r="AM15" s="502">
        <v>253062608.27147859</v>
      </c>
      <c r="AN15" s="501"/>
      <c r="AO15" s="502"/>
      <c r="AP15" s="502"/>
      <c r="AQ15" s="502"/>
      <c r="AR15" s="501">
        <f t="shared" si="8"/>
        <v>2631851353.2507958</v>
      </c>
      <c r="AS15" s="501">
        <f t="shared" si="9"/>
        <v>2017752704.1589437</v>
      </c>
      <c r="AT15" s="502">
        <v>43864189.220846601</v>
      </c>
      <c r="AU15" s="503">
        <f t="shared" si="28"/>
        <v>33629211.735982396</v>
      </c>
      <c r="AV15" s="501">
        <f t="shared" si="10"/>
        <v>1546278040.5228944</v>
      </c>
      <c r="AW15" s="504">
        <f t="shared" si="11"/>
        <v>1546278040.5228944</v>
      </c>
      <c r="AX15" s="502">
        <v>25771300.675381575</v>
      </c>
      <c r="AY15" s="501">
        <f t="shared" si="12"/>
        <v>87607.784458598064</v>
      </c>
      <c r="AZ15" s="501">
        <f t="shared" si="13"/>
        <v>69635489.896228179</v>
      </c>
      <c r="BA15" s="505">
        <f t="shared" si="14"/>
        <v>16</v>
      </c>
      <c r="BB15" s="506">
        <v>16.284631682112334</v>
      </c>
      <c r="BC15" s="507" t="s">
        <v>1788</v>
      </c>
      <c r="BD15" s="455" t="s">
        <v>1789</v>
      </c>
      <c r="BE15" s="508"/>
      <c r="BF15" s="509">
        <f t="shared" si="15"/>
        <v>0</v>
      </c>
      <c r="BG15" s="486" t="s">
        <v>1790</v>
      </c>
      <c r="BH15" s="510" t="s">
        <v>1791</v>
      </c>
      <c r="BI15" s="511">
        <v>0.19</v>
      </c>
      <c r="BJ15" s="512" t="s">
        <v>1792</v>
      </c>
      <c r="BK15" s="513">
        <v>15</v>
      </c>
      <c r="BL15" s="2003" t="s">
        <v>1793</v>
      </c>
      <c r="BM15" s="514"/>
      <c r="BN15" s="515" t="s">
        <v>1794</v>
      </c>
      <c r="BO15" s="516"/>
      <c r="BP15" s="516"/>
    </row>
    <row r="16" spans="3:68" ht="40.15" customHeight="1" outlineLevel="1">
      <c r="C16" s="2608"/>
      <c r="D16" s="485">
        <v>37</v>
      </c>
      <c r="E16" s="485"/>
      <c r="F16" s="485" t="s">
        <v>1786</v>
      </c>
      <c r="G16" s="486" t="s">
        <v>1795</v>
      </c>
      <c r="H16" s="487">
        <v>2627.57</v>
      </c>
      <c r="I16" s="488">
        <f t="shared" si="16"/>
        <v>794.83992499999999</v>
      </c>
      <c r="J16" s="489">
        <v>1124.82</v>
      </c>
      <c r="K16" s="488">
        <f t="shared" si="17"/>
        <v>340.25804999999997</v>
      </c>
      <c r="L16" s="490">
        <f t="shared" si="18"/>
        <v>0.42808374277374145</v>
      </c>
      <c r="M16" s="455">
        <v>39989</v>
      </c>
      <c r="N16" s="455">
        <v>43831</v>
      </c>
      <c r="O16" s="455">
        <v>45657</v>
      </c>
      <c r="P16" s="491">
        <f t="shared" si="19"/>
        <v>5</v>
      </c>
      <c r="Q16" s="492">
        <f t="shared" si="20"/>
        <v>60</v>
      </c>
      <c r="R16" s="493">
        <f t="shared" si="21"/>
        <v>7</v>
      </c>
      <c r="S16" s="494">
        <f t="shared" si="22"/>
        <v>0.41643835616438357</v>
      </c>
      <c r="T16" s="455">
        <v>45657</v>
      </c>
      <c r="U16" s="491">
        <f t="shared" si="23"/>
        <v>5</v>
      </c>
      <c r="V16" s="492">
        <f t="shared" si="0"/>
        <v>60</v>
      </c>
      <c r="W16" s="492">
        <f t="shared" si="1"/>
        <v>7</v>
      </c>
      <c r="X16" s="495">
        <v>6</v>
      </c>
      <c r="Y16" s="496">
        <f t="shared" si="24"/>
        <v>45473</v>
      </c>
      <c r="Z16" s="497">
        <v>14</v>
      </c>
      <c r="AA16" s="498">
        <f t="shared" si="2"/>
        <v>2.8</v>
      </c>
      <c r="AB16" s="499">
        <v>0</v>
      </c>
      <c r="AC16" s="500"/>
      <c r="AD16" s="501">
        <f t="shared" si="3"/>
        <v>0</v>
      </c>
      <c r="AE16" s="502">
        <v>0</v>
      </c>
      <c r="AF16" s="501">
        <f t="shared" si="25"/>
        <v>205589.11112302248</v>
      </c>
      <c r="AG16" s="501">
        <f t="shared" si="4"/>
        <v>175649.19511991212</v>
      </c>
      <c r="AH16" s="501">
        <f t="shared" si="5"/>
        <v>312643.6705498962</v>
      </c>
      <c r="AI16" s="501">
        <f t="shared" si="6"/>
        <v>54929.105575469635</v>
      </c>
      <c r="AJ16" s="501">
        <f t="shared" si="7"/>
        <v>32298.641411225726</v>
      </c>
      <c r="AK16" s="501">
        <f t="shared" si="26"/>
        <v>248501671.65160421</v>
      </c>
      <c r="AL16" s="501">
        <f t="shared" si="27"/>
        <v>0</v>
      </c>
      <c r="AM16" s="502">
        <v>248501671.65160421</v>
      </c>
      <c r="AN16" s="501"/>
      <c r="AO16" s="502"/>
      <c r="AP16" s="502"/>
      <c r="AQ16" s="502"/>
      <c r="AR16" s="501">
        <f t="shared" si="8"/>
        <v>2619590769.355402</v>
      </c>
      <c r="AS16" s="501">
        <f t="shared" si="9"/>
        <v>2008352923.1724751</v>
      </c>
      <c r="AT16" s="502">
        <v>43659846.155923367</v>
      </c>
      <c r="AU16" s="503">
        <f t="shared" si="28"/>
        <v>33472548.719541252</v>
      </c>
      <c r="AV16" s="501">
        <f t="shared" si="10"/>
        <v>1540334983.0140331</v>
      </c>
      <c r="AW16" s="504">
        <f t="shared" si="11"/>
        <v>1540334983.0140331</v>
      </c>
      <c r="AX16" s="502">
        <v>25672249.71690055</v>
      </c>
      <c r="AY16" s="501">
        <f t="shared" si="12"/>
        <v>87227.746986695376</v>
      </c>
      <c r="AZ16" s="501">
        <f t="shared" si="13"/>
        <v>69332095.872823924</v>
      </c>
      <c r="BA16" s="505">
        <f t="shared" si="14"/>
        <v>16</v>
      </c>
      <c r="BB16" s="517">
        <v>16.331066385279414</v>
      </c>
      <c r="BC16" s="507" t="s">
        <v>1796</v>
      </c>
      <c r="BD16" s="455" t="s">
        <v>1789</v>
      </c>
      <c r="BE16" s="508"/>
      <c r="BF16" s="509">
        <f t="shared" si="15"/>
        <v>0</v>
      </c>
      <c r="BG16" s="486" t="s">
        <v>1790</v>
      </c>
      <c r="BH16" s="510" t="s">
        <v>1791</v>
      </c>
      <c r="BI16" s="511">
        <v>0.19</v>
      </c>
      <c r="BJ16" s="512" t="s">
        <v>1797</v>
      </c>
      <c r="BK16" s="513">
        <v>15</v>
      </c>
      <c r="BL16" s="510" t="s">
        <v>1798</v>
      </c>
      <c r="BM16" s="2003" t="s">
        <v>1799</v>
      </c>
      <c r="BN16" s="515" t="s">
        <v>1794</v>
      </c>
      <c r="BO16" s="516"/>
      <c r="BP16" s="516"/>
    </row>
    <row r="17" spans="3:68" ht="40.15" customHeight="1" outlineLevel="1">
      <c r="C17" s="2608"/>
      <c r="D17" s="485">
        <v>36</v>
      </c>
      <c r="E17" s="485"/>
      <c r="F17" s="485" t="s">
        <v>1786</v>
      </c>
      <c r="G17" s="486" t="s">
        <v>1795</v>
      </c>
      <c r="H17" s="487">
        <v>2627.57</v>
      </c>
      <c r="I17" s="488">
        <f t="shared" si="16"/>
        <v>794.83992499999999</v>
      </c>
      <c r="J17" s="489">
        <v>1124.82</v>
      </c>
      <c r="K17" s="488">
        <f t="shared" si="17"/>
        <v>340.25804999999997</v>
      </c>
      <c r="L17" s="490">
        <f t="shared" si="18"/>
        <v>0.42808374277374145</v>
      </c>
      <c r="M17" s="455">
        <v>39989</v>
      </c>
      <c r="N17" s="455">
        <v>43831</v>
      </c>
      <c r="O17" s="455">
        <v>45657</v>
      </c>
      <c r="P17" s="491">
        <f t="shared" si="19"/>
        <v>5</v>
      </c>
      <c r="Q17" s="492">
        <f t="shared" si="20"/>
        <v>60</v>
      </c>
      <c r="R17" s="493">
        <f t="shared" si="21"/>
        <v>7</v>
      </c>
      <c r="S17" s="494">
        <f t="shared" si="22"/>
        <v>0.41643835616438357</v>
      </c>
      <c r="T17" s="455">
        <v>45657</v>
      </c>
      <c r="U17" s="491">
        <f t="shared" si="23"/>
        <v>5</v>
      </c>
      <c r="V17" s="492">
        <f t="shared" si="0"/>
        <v>60</v>
      </c>
      <c r="W17" s="492">
        <f t="shared" si="1"/>
        <v>7</v>
      </c>
      <c r="X17" s="495">
        <v>6</v>
      </c>
      <c r="Y17" s="496">
        <f t="shared" si="24"/>
        <v>45473</v>
      </c>
      <c r="Z17" s="497">
        <v>14</v>
      </c>
      <c r="AA17" s="498">
        <f t="shared" si="2"/>
        <v>2.8</v>
      </c>
      <c r="AB17" s="499">
        <v>0</v>
      </c>
      <c r="AC17" s="500"/>
      <c r="AD17" s="501">
        <f t="shared" si="3"/>
        <v>0</v>
      </c>
      <c r="AE17" s="502">
        <v>0</v>
      </c>
      <c r="AF17" s="501">
        <f t="shared" si="25"/>
        <v>205589.11112302248</v>
      </c>
      <c r="AG17" s="501">
        <f t="shared" si="4"/>
        <v>175649.19511991212</v>
      </c>
      <c r="AH17" s="501">
        <f t="shared" si="5"/>
        <v>312643.6705498962</v>
      </c>
      <c r="AI17" s="501">
        <f t="shared" si="6"/>
        <v>54929.105575469635</v>
      </c>
      <c r="AJ17" s="501">
        <f t="shared" si="7"/>
        <v>32298.641411225726</v>
      </c>
      <c r="AK17" s="501">
        <f t="shared" si="26"/>
        <v>248501671.65160421</v>
      </c>
      <c r="AL17" s="501">
        <f t="shared" si="27"/>
        <v>0</v>
      </c>
      <c r="AM17" s="502">
        <v>248501671.65160421</v>
      </c>
      <c r="AN17" s="501"/>
      <c r="AO17" s="502"/>
      <c r="AP17" s="502"/>
      <c r="AQ17" s="502"/>
      <c r="AR17" s="501">
        <f t="shared" si="8"/>
        <v>2619590769.355402</v>
      </c>
      <c r="AS17" s="501">
        <f t="shared" si="9"/>
        <v>2008352923.1724751</v>
      </c>
      <c r="AT17" s="502">
        <v>43659846.155923367</v>
      </c>
      <c r="AU17" s="503">
        <f t="shared" si="28"/>
        <v>33472548.719541252</v>
      </c>
      <c r="AV17" s="501">
        <f t="shared" si="10"/>
        <v>1540334983.0140331</v>
      </c>
      <c r="AW17" s="504">
        <f t="shared" si="11"/>
        <v>1540334983.0140331</v>
      </c>
      <c r="AX17" s="502">
        <v>25672249.71690055</v>
      </c>
      <c r="AY17" s="501">
        <f t="shared" si="12"/>
        <v>87227.746986695376</v>
      </c>
      <c r="AZ17" s="501">
        <f t="shared" si="13"/>
        <v>69332095.872823924</v>
      </c>
      <c r="BA17" s="505">
        <f t="shared" si="14"/>
        <v>16</v>
      </c>
      <c r="BB17" s="517">
        <v>16.331066385279414</v>
      </c>
      <c r="BC17" s="507" t="s">
        <v>1796</v>
      </c>
      <c r="BD17" s="455" t="s">
        <v>1789</v>
      </c>
      <c r="BE17" s="508"/>
      <c r="BF17" s="509">
        <f t="shared" si="15"/>
        <v>0</v>
      </c>
      <c r="BG17" s="486" t="s">
        <v>1790</v>
      </c>
      <c r="BH17" s="510" t="s">
        <v>1791</v>
      </c>
      <c r="BI17" s="511">
        <v>0.19</v>
      </c>
      <c r="BJ17" s="512" t="s">
        <v>1797</v>
      </c>
      <c r="BK17" s="513">
        <v>15</v>
      </c>
      <c r="BL17" s="510" t="s">
        <v>1798</v>
      </c>
      <c r="BM17" s="2003" t="s">
        <v>1799</v>
      </c>
      <c r="BN17" s="515" t="s">
        <v>1794</v>
      </c>
      <c r="BO17" s="516"/>
      <c r="BP17" s="516"/>
    </row>
    <row r="18" spans="3:68" ht="40.15" customHeight="1" outlineLevel="1">
      <c r="C18" s="2608"/>
      <c r="D18" s="485">
        <v>35</v>
      </c>
      <c r="E18" s="485"/>
      <c r="F18" s="485" t="s">
        <v>1786</v>
      </c>
      <c r="G18" s="486" t="s">
        <v>1787</v>
      </c>
      <c r="H18" s="487">
        <v>2627.57</v>
      </c>
      <c r="I18" s="488">
        <f t="shared" si="16"/>
        <v>794.83992499999999</v>
      </c>
      <c r="J18" s="489">
        <v>1124.82</v>
      </c>
      <c r="K18" s="488">
        <f t="shared" si="17"/>
        <v>340.25804999999997</v>
      </c>
      <c r="L18" s="490">
        <f t="shared" si="18"/>
        <v>0.42808374277374145</v>
      </c>
      <c r="M18" s="455">
        <v>43831</v>
      </c>
      <c r="N18" s="455">
        <v>43831</v>
      </c>
      <c r="O18" s="455">
        <v>45657</v>
      </c>
      <c r="P18" s="491">
        <f t="shared" si="19"/>
        <v>5</v>
      </c>
      <c r="Q18" s="492">
        <f t="shared" si="20"/>
        <v>60</v>
      </c>
      <c r="R18" s="493">
        <f t="shared" si="21"/>
        <v>7</v>
      </c>
      <c r="S18" s="494">
        <f t="shared" si="22"/>
        <v>0.41643835616438357</v>
      </c>
      <c r="T18" s="455">
        <v>45657</v>
      </c>
      <c r="U18" s="491">
        <f t="shared" si="23"/>
        <v>5</v>
      </c>
      <c r="V18" s="492">
        <f t="shared" si="0"/>
        <v>60</v>
      </c>
      <c r="W18" s="492">
        <f t="shared" si="1"/>
        <v>7</v>
      </c>
      <c r="X18" s="495">
        <v>6</v>
      </c>
      <c r="Y18" s="496">
        <f t="shared" si="24"/>
        <v>45473</v>
      </c>
      <c r="Z18" s="497">
        <v>14</v>
      </c>
      <c r="AA18" s="498">
        <f t="shared" si="2"/>
        <v>2.8</v>
      </c>
      <c r="AB18" s="499">
        <v>0</v>
      </c>
      <c r="AC18" s="500"/>
      <c r="AD18" s="501">
        <f t="shared" si="3"/>
        <v>0</v>
      </c>
      <c r="AE18" s="502">
        <v>0</v>
      </c>
      <c r="AF18" s="501">
        <f t="shared" si="25"/>
        <v>206510.35092507646</v>
      </c>
      <c r="AG18" s="501">
        <f t="shared" si="4"/>
        <v>176430.87822105456</v>
      </c>
      <c r="AH18" s="501">
        <f t="shared" si="5"/>
        <v>318375.794770982</v>
      </c>
      <c r="AI18" s="501">
        <f t="shared" si="6"/>
        <v>55185.142524849791</v>
      </c>
      <c r="AJ18" s="501">
        <f t="shared" si="7"/>
        <v>32422.641933748273</v>
      </c>
      <c r="AK18" s="501">
        <f t="shared" si="26"/>
        <v>253057792.83758271</v>
      </c>
      <c r="AL18" s="501">
        <f t="shared" si="27"/>
        <v>0</v>
      </c>
      <c r="AM18" s="502">
        <v>253057792.83758271</v>
      </c>
      <c r="AN18" s="501"/>
      <c r="AO18" s="502"/>
      <c r="AP18" s="502"/>
      <c r="AQ18" s="502"/>
      <c r="AR18" s="501">
        <f t="shared" si="8"/>
        <v>2631801272.7339549</v>
      </c>
      <c r="AS18" s="501">
        <f t="shared" si="9"/>
        <v>2017714309.0960324</v>
      </c>
      <c r="AT18" s="502">
        <v>43863354.545565918</v>
      </c>
      <c r="AU18" s="503">
        <f t="shared" si="28"/>
        <v>33628571.818267204</v>
      </c>
      <c r="AV18" s="501">
        <f t="shared" si="10"/>
        <v>1546248616.9753399</v>
      </c>
      <c r="AW18" s="504">
        <f t="shared" si="11"/>
        <v>1546248616.9753399</v>
      </c>
      <c r="AX18" s="502">
        <v>25770810.282922331</v>
      </c>
      <c r="AY18" s="501">
        <f t="shared" si="12"/>
        <v>87607.784458598064</v>
      </c>
      <c r="AZ18" s="501">
        <f t="shared" si="13"/>
        <v>69634164.828488246</v>
      </c>
      <c r="BA18" s="505">
        <f t="shared" si="14"/>
        <v>16</v>
      </c>
      <c r="BB18" s="506">
        <v>16.284321807935662</v>
      </c>
      <c r="BC18" s="507" t="s">
        <v>1788</v>
      </c>
      <c r="BD18" s="455" t="s">
        <v>1789</v>
      </c>
      <c r="BE18" s="508"/>
      <c r="BF18" s="509">
        <f t="shared" si="15"/>
        <v>0</v>
      </c>
      <c r="BG18" s="486" t="s">
        <v>1790</v>
      </c>
      <c r="BH18" s="510" t="s">
        <v>1791</v>
      </c>
      <c r="BI18" s="511">
        <v>0.19</v>
      </c>
      <c r="BJ18" s="512" t="s">
        <v>1792</v>
      </c>
      <c r="BK18" s="513">
        <v>15</v>
      </c>
      <c r="BL18" s="2003" t="s">
        <v>1793</v>
      </c>
      <c r="BM18" s="514"/>
      <c r="BN18" s="515" t="s">
        <v>1794</v>
      </c>
      <c r="BO18" s="516"/>
      <c r="BP18" s="516"/>
    </row>
    <row r="19" spans="3:68" ht="40.15" customHeight="1" outlineLevel="1">
      <c r="C19" s="2608"/>
      <c r="D19" s="2616">
        <v>34</v>
      </c>
      <c r="E19" s="2003">
        <v>1</v>
      </c>
      <c r="F19" s="485" t="s">
        <v>1786</v>
      </c>
      <c r="G19" s="486" t="s">
        <v>1787</v>
      </c>
      <c r="H19" s="487">
        <v>1516.63</v>
      </c>
      <c r="I19" s="488">
        <f t="shared" si="16"/>
        <v>458.780575</v>
      </c>
      <c r="J19" s="489">
        <v>649.24</v>
      </c>
      <c r="K19" s="488">
        <f t="shared" si="17"/>
        <v>196.39509999999999</v>
      </c>
      <c r="L19" s="490">
        <f t="shared" si="18"/>
        <v>0.42808067887355516</v>
      </c>
      <c r="M19" s="455">
        <v>43831</v>
      </c>
      <c r="N19" s="455">
        <v>43831</v>
      </c>
      <c r="O19" s="455">
        <v>45657</v>
      </c>
      <c r="P19" s="491">
        <f t="shared" si="19"/>
        <v>5</v>
      </c>
      <c r="Q19" s="492">
        <f t="shared" si="20"/>
        <v>60</v>
      </c>
      <c r="R19" s="493">
        <f t="shared" si="21"/>
        <v>7</v>
      </c>
      <c r="S19" s="494">
        <f t="shared" si="22"/>
        <v>0.41643835616438357</v>
      </c>
      <c r="T19" s="455">
        <v>45657</v>
      </c>
      <c r="U19" s="491">
        <f t="shared" si="23"/>
        <v>5</v>
      </c>
      <c r="V19" s="492">
        <f t="shared" si="0"/>
        <v>60</v>
      </c>
      <c r="W19" s="492">
        <f t="shared" si="1"/>
        <v>7</v>
      </c>
      <c r="X19" s="495">
        <v>6</v>
      </c>
      <c r="Y19" s="496">
        <f t="shared" si="24"/>
        <v>45473</v>
      </c>
      <c r="Z19" s="497">
        <v>14</v>
      </c>
      <c r="AA19" s="498">
        <f t="shared" si="2"/>
        <v>2.8</v>
      </c>
      <c r="AB19" s="499">
        <v>0</v>
      </c>
      <c r="AC19" s="500"/>
      <c r="AD19" s="501">
        <f t="shared" si="3"/>
        <v>0</v>
      </c>
      <c r="AE19" s="502">
        <v>0</v>
      </c>
      <c r="AF19" s="501">
        <f t="shared" si="25"/>
        <v>206511.82898081199</v>
      </c>
      <c r="AG19" s="501">
        <f t="shared" si="4"/>
        <v>176432.14098909649</v>
      </c>
      <c r="AH19" s="501">
        <f t="shared" si="5"/>
        <v>318375.794770982</v>
      </c>
      <c r="AI19" s="501">
        <f t="shared" si="6"/>
        <v>55185.142524849791</v>
      </c>
      <c r="AJ19" s="501">
        <f t="shared" si="7"/>
        <v>32422.641933748269</v>
      </c>
      <c r="AK19" s="501">
        <f t="shared" si="26"/>
        <v>146064630.19111311</v>
      </c>
      <c r="AL19" s="501">
        <f t="shared" si="27"/>
        <v>0</v>
      </c>
      <c r="AM19" s="502">
        <v>146064630.19111311</v>
      </c>
      <c r="AN19" s="501"/>
      <c r="AO19" s="502"/>
      <c r="AP19" s="502"/>
      <c r="AQ19" s="502"/>
      <c r="AR19" s="501">
        <f t="shared" si="8"/>
        <v>1519072285.1404524</v>
      </c>
      <c r="AS19" s="501">
        <f t="shared" si="9"/>
        <v>1164622085.2743466</v>
      </c>
      <c r="AT19" s="502">
        <v>25317871.41900754</v>
      </c>
      <c r="AU19" s="503">
        <f t="shared" si="28"/>
        <v>19410368.087905776</v>
      </c>
      <c r="AV19" s="501">
        <f t="shared" si="10"/>
        <v>892492698.5630486</v>
      </c>
      <c r="AW19" s="504">
        <f t="shared" si="11"/>
        <v>892492698.5630486</v>
      </c>
      <c r="AX19" s="502">
        <v>14874878.309384143</v>
      </c>
      <c r="AY19" s="501">
        <f t="shared" si="12"/>
        <v>87607.784458598064</v>
      </c>
      <c r="AZ19" s="501">
        <f t="shared" si="13"/>
        <v>40192749.728391685</v>
      </c>
      <c r="BA19" s="505">
        <f t="shared" si="14"/>
        <v>9</v>
      </c>
      <c r="BB19" s="506">
        <v>9.3992894513065171</v>
      </c>
      <c r="BC19" s="507" t="s">
        <v>1788</v>
      </c>
      <c r="BD19" s="455" t="s">
        <v>1789</v>
      </c>
      <c r="BE19" s="508"/>
      <c r="BF19" s="509">
        <f t="shared" si="15"/>
        <v>0</v>
      </c>
      <c r="BG19" s="486" t="s">
        <v>1790</v>
      </c>
      <c r="BH19" s="510" t="s">
        <v>1791</v>
      </c>
      <c r="BI19" s="511">
        <v>0.19</v>
      </c>
      <c r="BJ19" s="512" t="s">
        <v>1792</v>
      </c>
      <c r="BK19" s="513">
        <v>15</v>
      </c>
      <c r="BL19" s="2003" t="s">
        <v>1793</v>
      </c>
      <c r="BM19" s="514"/>
      <c r="BN19" s="515" t="s">
        <v>1794</v>
      </c>
      <c r="BO19" s="516"/>
      <c r="BP19" s="516"/>
    </row>
    <row r="20" spans="3:68" ht="40.15" customHeight="1" outlineLevel="1">
      <c r="C20" s="2608"/>
      <c r="D20" s="2616"/>
      <c r="E20" s="2003">
        <v>2</v>
      </c>
      <c r="F20" s="485" t="s">
        <v>1786</v>
      </c>
      <c r="G20" s="486" t="s">
        <v>1795</v>
      </c>
      <c r="H20" s="487">
        <v>1110.94</v>
      </c>
      <c r="I20" s="488">
        <f t="shared" si="16"/>
        <v>336.05934999999999</v>
      </c>
      <c r="J20" s="489">
        <v>475.58</v>
      </c>
      <c r="K20" s="488">
        <f t="shared" si="17"/>
        <v>143.86294999999998</v>
      </c>
      <c r="L20" s="490">
        <f t="shared" si="18"/>
        <v>0.42808792554053321</v>
      </c>
      <c r="M20" s="455">
        <v>39989</v>
      </c>
      <c r="N20" s="455">
        <v>43831</v>
      </c>
      <c r="O20" s="455">
        <v>45657</v>
      </c>
      <c r="P20" s="491">
        <f t="shared" si="19"/>
        <v>5</v>
      </c>
      <c r="Q20" s="492">
        <f t="shared" si="20"/>
        <v>60</v>
      </c>
      <c r="R20" s="493">
        <f t="shared" si="21"/>
        <v>7</v>
      </c>
      <c r="S20" s="494">
        <f t="shared" si="22"/>
        <v>0.41643835616438357</v>
      </c>
      <c r="T20" s="455">
        <v>45657</v>
      </c>
      <c r="U20" s="491">
        <f t="shared" si="23"/>
        <v>5</v>
      </c>
      <c r="V20" s="492">
        <f t="shared" si="0"/>
        <v>60</v>
      </c>
      <c r="W20" s="492">
        <f t="shared" si="1"/>
        <v>7</v>
      </c>
      <c r="X20" s="495">
        <v>6</v>
      </c>
      <c r="Y20" s="496">
        <f t="shared" si="24"/>
        <v>45473</v>
      </c>
      <c r="Z20" s="497">
        <v>14</v>
      </c>
      <c r="AA20" s="498">
        <f t="shared" si="2"/>
        <v>2.8</v>
      </c>
      <c r="AB20" s="499">
        <v>0</v>
      </c>
      <c r="AC20" s="500"/>
      <c r="AD20" s="501">
        <f t="shared" si="3"/>
        <v>0</v>
      </c>
      <c r="AE20" s="502">
        <v>0</v>
      </c>
      <c r="AF20" s="501">
        <f t="shared" si="25"/>
        <v>205587.4805943502</v>
      </c>
      <c r="AG20" s="501">
        <f t="shared" si="4"/>
        <v>175647.80204492222</v>
      </c>
      <c r="AH20" s="501">
        <f t="shared" si="5"/>
        <v>312644.2457590265</v>
      </c>
      <c r="AI20" s="501">
        <f t="shared" si="6"/>
        <v>54929.206635321541</v>
      </c>
      <c r="AJ20" s="501">
        <f t="shared" si="7"/>
        <v>32298.700835020885</v>
      </c>
      <c r="AK20" s="501">
        <f t="shared" si="26"/>
        <v>105067022.01101871</v>
      </c>
      <c r="AL20" s="501">
        <f t="shared" si="27"/>
        <v>0</v>
      </c>
      <c r="AM20" s="502">
        <v>105067022.01101871</v>
      </c>
      <c r="AN20" s="501"/>
      <c r="AO20" s="502"/>
      <c r="AP20" s="502"/>
      <c r="AQ20" s="502"/>
      <c r="AR20" s="501">
        <f t="shared" si="8"/>
        <v>1107568408.6729107</v>
      </c>
      <c r="AS20" s="501">
        <f t="shared" si="9"/>
        <v>849135779.98256493</v>
      </c>
      <c r="AT20" s="502">
        <v>18459473.477881845</v>
      </c>
      <c r="AU20" s="503">
        <f t="shared" si="28"/>
        <v>14152262.999709416</v>
      </c>
      <c r="AV20" s="501">
        <f t="shared" si="10"/>
        <v>651256824.5076946</v>
      </c>
      <c r="AW20" s="504">
        <f t="shared" si="11"/>
        <v>651256824.5076946</v>
      </c>
      <c r="AX20" s="502">
        <v>10854280.408461576</v>
      </c>
      <c r="AY20" s="501">
        <f t="shared" si="12"/>
        <v>87227.907470342427</v>
      </c>
      <c r="AZ20" s="501">
        <f t="shared" si="13"/>
        <v>29313753.88634342</v>
      </c>
      <c r="BA20" s="505">
        <f t="shared" si="14"/>
        <v>7</v>
      </c>
      <c r="BB20" s="517">
        <v>6.9048087280924468</v>
      </c>
      <c r="BC20" s="507" t="s">
        <v>1796</v>
      </c>
      <c r="BD20" s="455" t="s">
        <v>1789</v>
      </c>
      <c r="BE20" s="508"/>
      <c r="BF20" s="509">
        <f t="shared" si="15"/>
        <v>0</v>
      </c>
      <c r="BG20" s="486" t="s">
        <v>1790</v>
      </c>
      <c r="BH20" s="510" t="s">
        <v>1791</v>
      </c>
      <c r="BI20" s="511">
        <v>0.19</v>
      </c>
      <c r="BJ20" s="512" t="s">
        <v>1797</v>
      </c>
      <c r="BK20" s="513">
        <v>15</v>
      </c>
      <c r="BL20" s="510" t="s">
        <v>1798</v>
      </c>
      <c r="BM20" s="2003" t="s">
        <v>1799</v>
      </c>
      <c r="BN20" s="515" t="s">
        <v>1794</v>
      </c>
      <c r="BO20" s="516"/>
      <c r="BP20" s="516"/>
    </row>
    <row r="21" spans="3:68" ht="40.15" customHeight="1" outlineLevel="1">
      <c r="C21" s="2608"/>
      <c r="D21" s="2616">
        <v>33</v>
      </c>
      <c r="E21" s="2003">
        <v>1</v>
      </c>
      <c r="F21" s="485" t="s">
        <v>1786</v>
      </c>
      <c r="G21" s="486" t="s">
        <v>1787</v>
      </c>
      <c r="H21" s="487">
        <v>338.57</v>
      </c>
      <c r="I21" s="488">
        <f t="shared" si="16"/>
        <v>102.41742499999999</v>
      </c>
      <c r="J21" s="489">
        <v>125.41</v>
      </c>
      <c r="K21" s="488">
        <f t="shared" si="17"/>
        <v>37.936524999999996</v>
      </c>
      <c r="L21" s="490">
        <f t="shared" si="18"/>
        <v>0.37041084561538234</v>
      </c>
      <c r="M21" s="455">
        <v>41625</v>
      </c>
      <c r="N21" s="455">
        <v>43831</v>
      </c>
      <c r="O21" s="455">
        <v>45657</v>
      </c>
      <c r="P21" s="491">
        <f t="shared" si="19"/>
        <v>5</v>
      </c>
      <c r="Q21" s="492">
        <f t="shared" si="20"/>
        <v>60</v>
      </c>
      <c r="R21" s="493">
        <f t="shared" si="21"/>
        <v>7</v>
      </c>
      <c r="S21" s="494">
        <f t="shared" si="22"/>
        <v>0.41643835616438357</v>
      </c>
      <c r="T21" s="455">
        <v>45657</v>
      </c>
      <c r="U21" s="491">
        <f t="shared" si="23"/>
        <v>5</v>
      </c>
      <c r="V21" s="492">
        <f t="shared" si="0"/>
        <v>60</v>
      </c>
      <c r="W21" s="492">
        <f t="shared" si="1"/>
        <v>7</v>
      </c>
      <c r="X21" s="495">
        <v>6</v>
      </c>
      <c r="Y21" s="496">
        <f t="shared" si="24"/>
        <v>45473</v>
      </c>
      <c r="Z21" s="497">
        <v>14</v>
      </c>
      <c r="AA21" s="498">
        <f t="shared" si="2"/>
        <v>2.8</v>
      </c>
      <c r="AB21" s="499">
        <v>0</v>
      </c>
      <c r="AC21" s="500"/>
      <c r="AD21" s="501">
        <f t="shared" si="3"/>
        <v>0</v>
      </c>
      <c r="AE21" s="502">
        <v>0</v>
      </c>
      <c r="AF21" s="501">
        <f t="shared" si="25"/>
        <v>238663.97269943843</v>
      </c>
      <c r="AG21" s="501">
        <f t="shared" si="4"/>
        <v>203901.1319019293</v>
      </c>
      <c r="AH21" s="501">
        <f t="shared" si="5"/>
        <v>318375.794770982</v>
      </c>
      <c r="AI21" s="501">
        <f t="shared" si="6"/>
        <v>55185.142524849791</v>
      </c>
      <c r="AJ21" s="501">
        <f t="shared" si="7"/>
        <v>32422.641933748269</v>
      </c>
      <c r="AK21" s="501">
        <f t="shared" si="26"/>
        <v>32607229.082772437</v>
      </c>
      <c r="AL21" s="501">
        <f t="shared" si="27"/>
        <v>0</v>
      </c>
      <c r="AM21" s="502">
        <v>32607229.082772437</v>
      </c>
      <c r="AN21" s="501"/>
      <c r="AO21" s="502"/>
      <c r="AP21" s="502"/>
      <c r="AQ21" s="502"/>
      <c r="AR21" s="501">
        <f t="shared" si="8"/>
        <v>339115211.73918682</v>
      </c>
      <c r="AS21" s="501">
        <f t="shared" si="9"/>
        <v>259988329.00004324</v>
      </c>
      <c r="AT21" s="502">
        <v>5651920.1956531135</v>
      </c>
      <c r="AU21" s="503">
        <f t="shared" si="28"/>
        <v>4333138.8166673873</v>
      </c>
      <c r="AV21" s="501">
        <f t="shared" si="10"/>
        <v>199238609.91309106</v>
      </c>
      <c r="AW21" s="504">
        <f t="shared" si="11"/>
        <v>199238609.91309106</v>
      </c>
      <c r="AX21" s="502">
        <v>3320643.4985515182</v>
      </c>
      <c r="AY21" s="501">
        <f t="shared" si="12"/>
        <v>87607.784458598064</v>
      </c>
      <c r="AZ21" s="501">
        <f t="shared" si="13"/>
        <v>8972563.6942046322</v>
      </c>
      <c r="BA21" s="505">
        <f t="shared" si="14"/>
        <v>2</v>
      </c>
      <c r="BB21" s="506">
        <v>2.0982819999135236</v>
      </c>
      <c r="BC21" s="507" t="s">
        <v>1788</v>
      </c>
      <c r="BD21" s="455" t="s">
        <v>1789</v>
      </c>
      <c r="BE21" s="508"/>
      <c r="BF21" s="509">
        <f t="shared" si="15"/>
        <v>0</v>
      </c>
      <c r="BG21" s="486" t="s">
        <v>1790</v>
      </c>
      <c r="BH21" s="510" t="s">
        <v>1791</v>
      </c>
      <c r="BI21" s="511">
        <v>0.19</v>
      </c>
      <c r="BJ21" s="512" t="s">
        <v>1792</v>
      </c>
      <c r="BK21" s="513">
        <v>15</v>
      </c>
      <c r="BL21" s="2003" t="s">
        <v>1793</v>
      </c>
      <c r="BM21" s="514"/>
      <c r="BN21" s="515" t="s">
        <v>1794</v>
      </c>
      <c r="BO21" s="516"/>
      <c r="BP21" s="516"/>
    </row>
    <row r="22" spans="3:68" ht="40.15" customHeight="1" outlineLevel="1">
      <c r="C22" s="2608"/>
      <c r="D22" s="2616"/>
      <c r="E22" s="2003">
        <v>2</v>
      </c>
      <c r="F22" s="485" t="s">
        <v>1786</v>
      </c>
      <c r="G22" s="486" t="s">
        <v>1696</v>
      </c>
      <c r="H22" s="487">
        <v>275.47000000000003</v>
      </c>
      <c r="I22" s="488">
        <f t="shared" si="16"/>
        <v>83.329675000000009</v>
      </c>
      <c r="J22" s="489">
        <v>102.09</v>
      </c>
      <c r="K22" s="488">
        <f t="shared" si="17"/>
        <v>30.882225000000002</v>
      </c>
      <c r="L22" s="490">
        <f t="shared" si="18"/>
        <v>0.3706029694703597</v>
      </c>
      <c r="M22" s="455">
        <v>45352</v>
      </c>
      <c r="N22" s="455">
        <v>45383</v>
      </c>
      <c r="O22" s="455">
        <v>45747</v>
      </c>
      <c r="P22" s="491">
        <f t="shared" si="19"/>
        <v>1</v>
      </c>
      <c r="Q22" s="492">
        <f t="shared" si="20"/>
        <v>12</v>
      </c>
      <c r="R22" s="493">
        <f t="shared" si="21"/>
        <v>10</v>
      </c>
      <c r="S22" s="494">
        <f t="shared" si="22"/>
        <v>0.66301369863013704</v>
      </c>
      <c r="T22" s="518"/>
      <c r="U22" s="491"/>
      <c r="V22" s="492"/>
      <c r="W22" s="492" t="str">
        <f t="shared" si="1"/>
        <v>만료</v>
      </c>
      <c r="X22" s="495">
        <v>3</v>
      </c>
      <c r="Y22" s="496">
        <f t="shared" si="24"/>
        <v>45657</v>
      </c>
      <c r="Z22" s="497">
        <v>0</v>
      </c>
      <c r="AA22" s="498">
        <f t="shared" si="2"/>
        <v>0</v>
      </c>
      <c r="AB22" s="499">
        <v>0</v>
      </c>
      <c r="AC22" s="500"/>
      <c r="AD22" s="501">
        <f t="shared" si="3"/>
        <v>0</v>
      </c>
      <c r="AE22" s="502">
        <v>0</v>
      </c>
      <c r="AF22" s="501">
        <f t="shared" si="25"/>
        <v>260097.67754752125</v>
      </c>
      <c r="AG22" s="501">
        <f t="shared" si="4"/>
        <v>260097.67754752125</v>
      </c>
      <c r="AH22" s="501">
        <f t="shared" si="5"/>
        <v>600002.34010273044</v>
      </c>
      <c r="AI22" s="501">
        <f t="shared" si="6"/>
        <v>59892.229268864896</v>
      </c>
      <c r="AJ22" s="501">
        <f t="shared" si="7"/>
        <v>35000.736532333765</v>
      </c>
      <c r="AK22" s="501">
        <f t="shared" si="26"/>
        <v>49998000</v>
      </c>
      <c r="AL22" s="501">
        <f t="shared" si="27"/>
        <v>0</v>
      </c>
      <c r="AM22" s="502">
        <v>49998000</v>
      </c>
      <c r="AN22" s="501"/>
      <c r="AO22" s="502"/>
      <c r="AP22" s="502"/>
      <c r="AQ22" s="502"/>
      <c r="AR22" s="501">
        <f t="shared" si="8"/>
        <v>59889600</v>
      </c>
      <c r="AS22" s="501">
        <f t="shared" si="9"/>
        <v>59889600</v>
      </c>
      <c r="AT22" s="502">
        <v>4990800</v>
      </c>
      <c r="AU22" s="503">
        <f t="shared" si="28"/>
        <v>4990800</v>
      </c>
      <c r="AV22" s="501">
        <f t="shared" si="10"/>
        <v>34999200</v>
      </c>
      <c r="AW22" s="504">
        <f t="shared" si="11"/>
        <v>34999200</v>
      </c>
      <c r="AX22" s="502">
        <v>2916600</v>
      </c>
      <c r="AY22" s="501">
        <f t="shared" si="12"/>
        <v>94892.965801198661</v>
      </c>
      <c r="AZ22" s="501">
        <f t="shared" si="13"/>
        <v>7907400</v>
      </c>
      <c r="BA22" s="505">
        <f t="shared" si="14"/>
        <v>2</v>
      </c>
      <c r="BB22" s="506">
        <v>0</v>
      </c>
      <c r="BC22" s="501"/>
      <c r="BD22" s="455" t="s">
        <v>1789</v>
      </c>
      <c r="BE22" s="508"/>
      <c r="BF22" s="509">
        <f t="shared" si="15"/>
        <v>0</v>
      </c>
      <c r="BG22" s="486" t="s">
        <v>1800</v>
      </c>
      <c r="BH22" s="510" t="s">
        <v>1791</v>
      </c>
      <c r="BI22" s="511">
        <v>0.19</v>
      </c>
      <c r="BJ22" s="519" t="s">
        <v>1801</v>
      </c>
      <c r="BK22" s="513" t="s">
        <v>1802</v>
      </c>
      <c r="BL22" s="514"/>
      <c r="BM22" s="514"/>
      <c r="BN22" s="515" t="s">
        <v>1794</v>
      </c>
      <c r="BO22" s="516"/>
      <c r="BP22" s="516"/>
    </row>
    <row r="23" spans="3:68" ht="40.15" customHeight="1" outlineLevel="1">
      <c r="C23" s="2608"/>
      <c r="D23" s="2616"/>
      <c r="E23" s="2003">
        <v>3</v>
      </c>
      <c r="F23" s="485" t="s">
        <v>1786</v>
      </c>
      <c r="G23" s="486" t="s">
        <v>1795</v>
      </c>
      <c r="H23" s="487">
        <v>384.25</v>
      </c>
      <c r="I23" s="488">
        <f t="shared" si="16"/>
        <v>116.235625</v>
      </c>
      <c r="J23" s="489">
        <f>244.62-102.22</f>
        <v>142.4</v>
      </c>
      <c r="K23" s="488">
        <f t="shared" si="17"/>
        <v>43.076000000000001</v>
      </c>
      <c r="L23" s="490">
        <f t="shared" si="18"/>
        <v>0.3705920624593364</v>
      </c>
      <c r="M23" s="455">
        <v>43831</v>
      </c>
      <c r="N23" s="455">
        <v>43831</v>
      </c>
      <c r="O23" s="455">
        <v>45657</v>
      </c>
      <c r="P23" s="491">
        <f t="shared" si="19"/>
        <v>5</v>
      </c>
      <c r="Q23" s="492">
        <f t="shared" si="20"/>
        <v>60</v>
      </c>
      <c r="R23" s="493">
        <f t="shared" si="21"/>
        <v>7</v>
      </c>
      <c r="S23" s="494">
        <f t="shared" si="22"/>
        <v>0.41643835616438357</v>
      </c>
      <c r="T23" s="455">
        <v>45657</v>
      </c>
      <c r="U23" s="491">
        <f t="shared" si="23"/>
        <v>5</v>
      </c>
      <c r="V23" s="492">
        <f t="shared" ref="V23:V30" si="29">DATEDIF(N23,T23,"m")+1</f>
        <v>60</v>
      </c>
      <c r="W23" s="492">
        <f t="shared" si="1"/>
        <v>7</v>
      </c>
      <c r="X23" s="495">
        <v>6</v>
      </c>
      <c r="Y23" s="496">
        <f t="shared" si="24"/>
        <v>45473</v>
      </c>
      <c r="Z23" s="497">
        <v>14</v>
      </c>
      <c r="AA23" s="498">
        <f t="shared" si="2"/>
        <v>2.8</v>
      </c>
      <c r="AB23" s="499">
        <v>0</v>
      </c>
      <c r="AC23" s="500"/>
      <c r="AD23" s="501">
        <f t="shared" si="3"/>
        <v>0</v>
      </c>
      <c r="AE23" s="502">
        <v>0</v>
      </c>
      <c r="AF23" s="501">
        <f t="shared" si="25"/>
        <v>237492.02792940542</v>
      </c>
      <c r="AG23" s="501">
        <f t="shared" si="4"/>
        <v>202906.09422516424</v>
      </c>
      <c r="AH23" s="501">
        <f t="shared" si="5"/>
        <v>312655.40866294218</v>
      </c>
      <c r="AI23" s="501">
        <f t="shared" si="6"/>
        <v>54931.167872299826</v>
      </c>
      <c r="AJ23" s="501">
        <f t="shared" si="7"/>
        <v>32299.854054051499</v>
      </c>
      <c r="AK23" s="501">
        <f t="shared" si="26"/>
        <v>36341696.835567497</v>
      </c>
      <c r="AL23" s="501">
        <f t="shared" si="27"/>
        <v>0</v>
      </c>
      <c r="AM23" s="502">
        <v>36341696.835567497</v>
      </c>
      <c r="AN23" s="501"/>
      <c r="AO23" s="502"/>
      <c r="AP23" s="502"/>
      <c r="AQ23" s="502"/>
      <c r="AR23" s="501">
        <f t="shared" si="8"/>
        <v>383097517.77700144</v>
      </c>
      <c r="AS23" s="501">
        <f t="shared" si="9"/>
        <v>293708096.96236777</v>
      </c>
      <c r="AT23" s="502">
        <v>6384958.6296166908</v>
      </c>
      <c r="AU23" s="503">
        <f t="shared" si="28"/>
        <v>4895134.9493727963</v>
      </c>
      <c r="AV23" s="501">
        <f t="shared" si="10"/>
        <v>225263623.40288758</v>
      </c>
      <c r="AW23" s="504">
        <f t="shared" si="11"/>
        <v>225263623.40288758</v>
      </c>
      <c r="AX23" s="502">
        <v>3754393.7233814597</v>
      </c>
      <c r="AY23" s="501">
        <f t="shared" si="12"/>
        <v>87231.021926351328</v>
      </c>
      <c r="AZ23" s="501">
        <f t="shared" si="13"/>
        <v>10139352.352998151</v>
      </c>
      <c r="BA23" s="505">
        <f t="shared" si="14"/>
        <v>2</v>
      </c>
      <c r="BB23" s="517">
        <v>2.3883085358372487</v>
      </c>
      <c r="BC23" s="507" t="s">
        <v>1796</v>
      </c>
      <c r="BD23" s="455" t="s">
        <v>1789</v>
      </c>
      <c r="BE23" s="508"/>
      <c r="BF23" s="509">
        <f t="shared" si="15"/>
        <v>0</v>
      </c>
      <c r="BG23" s="486" t="s">
        <v>1790</v>
      </c>
      <c r="BH23" s="510" t="s">
        <v>1791</v>
      </c>
      <c r="BI23" s="511">
        <v>0.19</v>
      </c>
      <c r="BJ23" s="512" t="s">
        <v>1797</v>
      </c>
      <c r="BK23" s="513">
        <v>15</v>
      </c>
      <c r="BL23" s="510" t="s">
        <v>1798</v>
      </c>
      <c r="BM23" s="2003" t="s">
        <v>1799</v>
      </c>
      <c r="BN23" s="515" t="s">
        <v>1794</v>
      </c>
      <c r="BO23" s="516"/>
      <c r="BP23" s="516"/>
    </row>
    <row r="24" spans="3:68" ht="40.15" customHeight="1" outlineLevel="1">
      <c r="C24" s="2608"/>
      <c r="D24" s="2616"/>
      <c r="E24" s="2003">
        <v>4</v>
      </c>
      <c r="F24" s="485" t="s">
        <v>1786</v>
      </c>
      <c r="G24" s="486" t="s">
        <v>1803</v>
      </c>
      <c r="H24" s="487">
        <v>659.56</v>
      </c>
      <c r="I24" s="488">
        <f t="shared" si="16"/>
        <v>199.51689999999996</v>
      </c>
      <c r="J24" s="489">
        <v>244.43</v>
      </c>
      <c r="K24" s="488">
        <f t="shared" si="17"/>
        <v>73.940074999999993</v>
      </c>
      <c r="L24" s="490">
        <f t="shared" si="18"/>
        <v>0.37059554854751658</v>
      </c>
      <c r="M24" s="455">
        <v>43198</v>
      </c>
      <c r="N24" s="455">
        <v>45024</v>
      </c>
      <c r="O24" s="455">
        <v>46850</v>
      </c>
      <c r="P24" s="491">
        <f t="shared" si="19"/>
        <v>5</v>
      </c>
      <c r="Q24" s="492">
        <f t="shared" si="20"/>
        <v>60</v>
      </c>
      <c r="R24" s="493">
        <f t="shared" si="21"/>
        <v>46</v>
      </c>
      <c r="S24" s="494">
        <f t="shared" si="22"/>
        <v>3.6849315068493151</v>
      </c>
      <c r="T24" s="455">
        <v>46119</v>
      </c>
      <c r="U24" s="491">
        <f t="shared" si="23"/>
        <v>3</v>
      </c>
      <c r="V24" s="492">
        <f t="shared" si="29"/>
        <v>36</v>
      </c>
      <c r="W24" s="492">
        <f t="shared" si="1"/>
        <v>22</v>
      </c>
      <c r="X24" s="495">
        <v>6</v>
      </c>
      <c r="Y24" s="496">
        <f t="shared" si="24"/>
        <v>46667</v>
      </c>
      <c r="Z24" s="497">
        <v>15</v>
      </c>
      <c r="AA24" s="498">
        <f t="shared" si="2"/>
        <v>3</v>
      </c>
      <c r="AB24" s="499">
        <v>0</v>
      </c>
      <c r="AC24" s="500"/>
      <c r="AD24" s="501">
        <f t="shared" si="3"/>
        <v>0</v>
      </c>
      <c r="AE24" s="502">
        <v>0</v>
      </c>
      <c r="AF24" s="501">
        <f t="shared" si="25"/>
        <v>275485.24937254936</v>
      </c>
      <c r="AG24" s="501">
        <f t="shared" si="4"/>
        <v>231731.57452166502</v>
      </c>
      <c r="AH24" s="501">
        <f t="shared" si="5"/>
        <v>215520.58998510908</v>
      </c>
      <c r="AI24" s="501">
        <f t="shared" si="6"/>
        <v>64859.668529332615</v>
      </c>
      <c r="AJ24" s="501">
        <f t="shared" si="7"/>
        <v>36695.137103673929</v>
      </c>
      <c r="AK24" s="501">
        <f t="shared" si="26"/>
        <v>43000000</v>
      </c>
      <c r="AL24" s="501">
        <f t="shared" si="27"/>
        <v>0</v>
      </c>
      <c r="AM24" s="502">
        <v>43000000</v>
      </c>
      <c r="AN24" s="501"/>
      <c r="AO24" s="502"/>
      <c r="AP24" s="502"/>
      <c r="AQ24" s="502"/>
      <c r="AR24" s="501">
        <f t="shared" si="8"/>
        <v>776436000</v>
      </c>
      <c r="AS24" s="501">
        <f t="shared" si="9"/>
        <v>582327000</v>
      </c>
      <c r="AT24" s="502">
        <v>12940600</v>
      </c>
      <c r="AU24" s="503">
        <f t="shared" si="28"/>
        <v>9705450</v>
      </c>
      <c r="AV24" s="501">
        <f t="shared" si="10"/>
        <v>439277999.99999994</v>
      </c>
      <c r="AW24" s="504">
        <f t="shared" si="11"/>
        <v>439277999.99999994</v>
      </c>
      <c r="AX24" s="502">
        <v>7321300</v>
      </c>
      <c r="AY24" s="501">
        <f t="shared" si="12"/>
        <v>101554.80563300654</v>
      </c>
      <c r="AZ24" s="501">
        <f t="shared" si="13"/>
        <v>20261900</v>
      </c>
      <c r="BA24" s="505">
        <f t="shared" si="14"/>
        <v>4</v>
      </c>
      <c r="BB24" s="506">
        <v>4</v>
      </c>
      <c r="BC24" s="507" t="s">
        <v>1804</v>
      </c>
      <c r="BD24" s="455" t="s">
        <v>1789</v>
      </c>
      <c r="BE24" s="508">
        <v>45755</v>
      </c>
      <c r="BF24" s="509">
        <f t="shared" si="15"/>
        <v>45755</v>
      </c>
      <c r="BG24" s="486" t="s">
        <v>1805</v>
      </c>
      <c r="BH24" s="510" t="s">
        <v>1791</v>
      </c>
      <c r="BI24" s="511">
        <v>0.19</v>
      </c>
      <c r="BJ24" s="512" t="s">
        <v>1806</v>
      </c>
      <c r="BK24" s="513">
        <v>10</v>
      </c>
      <c r="BL24" s="514"/>
      <c r="BM24" s="514"/>
      <c r="BN24" s="515" t="s">
        <v>1794</v>
      </c>
      <c r="BO24" s="516"/>
      <c r="BP24" s="516"/>
    </row>
    <row r="25" spans="3:68" ht="40.15" customHeight="1" outlineLevel="1">
      <c r="C25" s="2608"/>
      <c r="D25" s="2616"/>
      <c r="E25" s="2003">
        <v>5</v>
      </c>
      <c r="F25" s="485" t="s">
        <v>1786</v>
      </c>
      <c r="G25" s="486" t="s">
        <v>1807</v>
      </c>
      <c r="H25" s="487">
        <v>969.72</v>
      </c>
      <c r="I25" s="488">
        <f t="shared" si="16"/>
        <v>293.34030000000001</v>
      </c>
      <c r="J25" s="489">
        <v>359.44</v>
      </c>
      <c r="K25" s="488">
        <f t="shared" si="17"/>
        <v>108.7306</v>
      </c>
      <c r="L25" s="490">
        <f t="shared" si="18"/>
        <v>0.37066369673720245</v>
      </c>
      <c r="M25" s="455">
        <v>44024</v>
      </c>
      <c r="N25" s="455">
        <v>44604</v>
      </c>
      <c r="O25" s="455">
        <v>45869</v>
      </c>
      <c r="P25" s="491">
        <f t="shared" si="19"/>
        <v>3.5</v>
      </c>
      <c r="Q25" s="492">
        <f t="shared" si="20"/>
        <v>42</v>
      </c>
      <c r="R25" s="493">
        <f t="shared" si="21"/>
        <v>14</v>
      </c>
      <c r="S25" s="494">
        <f t="shared" si="22"/>
        <v>0.99726027397260275</v>
      </c>
      <c r="T25" s="455">
        <v>45333</v>
      </c>
      <c r="U25" s="491">
        <f t="shared" si="23"/>
        <v>2</v>
      </c>
      <c r="V25" s="492">
        <f t="shared" si="29"/>
        <v>24</v>
      </c>
      <c r="W25" s="492" t="str">
        <f t="shared" si="1"/>
        <v>만료</v>
      </c>
      <c r="X25" s="495">
        <v>3</v>
      </c>
      <c r="Y25" s="496">
        <f t="shared" si="24"/>
        <v>45777</v>
      </c>
      <c r="Z25" s="497">
        <v>9</v>
      </c>
      <c r="AA25" s="498">
        <f t="shared" si="2"/>
        <v>2.5714285714285712</v>
      </c>
      <c r="AB25" s="499">
        <v>2</v>
      </c>
      <c r="AC25" s="500"/>
      <c r="AD25" s="501">
        <f t="shared" si="3"/>
        <v>0</v>
      </c>
      <c r="AE25" s="502">
        <v>0</v>
      </c>
      <c r="AF25" s="501">
        <f t="shared" si="25"/>
        <v>246822.25515375123</v>
      </c>
      <c r="AG25" s="501">
        <f t="shared" si="4"/>
        <v>204968.61103076118</v>
      </c>
      <c r="AH25" s="501">
        <f t="shared" si="5"/>
        <v>0</v>
      </c>
      <c r="AI25" s="501">
        <f t="shared" si="6"/>
        <v>59233.846455193932</v>
      </c>
      <c r="AJ25" s="501">
        <f t="shared" si="7"/>
        <v>32254.203077108523</v>
      </c>
      <c r="AK25" s="501">
        <f t="shared" si="26"/>
        <v>0</v>
      </c>
      <c r="AL25" s="501">
        <f t="shared" si="27"/>
        <v>0</v>
      </c>
      <c r="AM25" s="501"/>
      <c r="AN25" s="501"/>
      <c r="AO25" s="502"/>
      <c r="AP25" s="502"/>
      <c r="AQ25" s="502"/>
      <c r="AR25" s="501">
        <f t="shared" si="8"/>
        <v>729778320.15146208</v>
      </c>
      <c r="AS25" s="501">
        <f t="shared" si="9"/>
        <v>538645902.96893632</v>
      </c>
      <c r="AT25" s="502">
        <v>17375674.289320525</v>
      </c>
      <c r="AU25" s="503">
        <f t="shared" si="28"/>
        <v>12824902.451641342</v>
      </c>
      <c r="AV25" s="501">
        <f t="shared" si="10"/>
        <v>397381219.48979741</v>
      </c>
      <c r="AW25" s="504">
        <f t="shared" si="11"/>
        <v>397381219.48979741</v>
      </c>
      <c r="AX25" s="502">
        <v>9461457.6068999376</v>
      </c>
      <c r="AY25" s="501">
        <f t="shared" si="12"/>
        <v>91488.049532302452</v>
      </c>
      <c r="AZ25" s="501">
        <f t="shared" si="13"/>
        <v>26837131.896220461</v>
      </c>
      <c r="BA25" s="505">
        <f t="shared" si="14"/>
        <v>6</v>
      </c>
      <c r="BB25" s="506">
        <v>6</v>
      </c>
      <c r="BC25" s="507" t="s">
        <v>1808</v>
      </c>
      <c r="BD25" s="455" t="s">
        <v>1789</v>
      </c>
      <c r="BE25" s="508">
        <v>45505</v>
      </c>
      <c r="BF25" s="509">
        <f t="shared" si="15"/>
        <v>45505</v>
      </c>
      <c r="BG25" s="486" t="s">
        <v>1790</v>
      </c>
      <c r="BH25" s="510" t="s">
        <v>1791</v>
      </c>
      <c r="BI25" s="511">
        <v>0.19</v>
      </c>
      <c r="BJ25" s="512" t="s">
        <v>1809</v>
      </c>
      <c r="BK25" s="513">
        <v>10</v>
      </c>
      <c r="BL25" s="514"/>
      <c r="BM25" s="514"/>
      <c r="BN25" s="515" t="s">
        <v>1794</v>
      </c>
      <c r="BO25" s="516"/>
      <c r="BP25" s="516"/>
    </row>
    <row r="26" spans="3:68" ht="40.15" customHeight="1" outlineLevel="1">
      <c r="C26" s="2608"/>
      <c r="D26" s="2610">
        <v>32</v>
      </c>
      <c r="E26" s="2003">
        <v>1</v>
      </c>
      <c r="F26" s="485" t="s">
        <v>1786</v>
      </c>
      <c r="G26" s="486" t="s">
        <v>1787</v>
      </c>
      <c r="H26" s="487">
        <v>737.75</v>
      </c>
      <c r="I26" s="488">
        <f t="shared" si="16"/>
        <v>223.169375</v>
      </c>
      <c r="J26" s="489">
        <v>273.41000000000003</v>
      </c>
      <c r="K26" s="488">
        <f t="shared" si="17"/>
        <v>82.706524999999999</v>
      </c>
      <c r="L26" s="490">
        <f t="shared" si="18"/>
        <v>0.37059979667909188</v>
      </c>
      <c r="M26" s="455">
        <v>43831</v>
      </c>
      <c r="N26" s="455">
        <v>43831</v>
      </c>
      <c r="O26" s="455">
        <v>45657</v>
      </c>
      <c r="P26" s="491">
        <f t="shared" si="19"/>
        <v>5</v>
      </c>
      <c r="Q26" s="492">
        <f t="shared" si="20"/>
        <v>60</v>
      </c>
      <c r="R26" s="493">
        <f t="shared" si="21"/>
        <v>7</v>
      </c>
      <c r="S26" s="494">
        <f t="shared" si="22"/>
        <v>0.41643835616438357</v>
      </c>
      <c r="T26" s="455">
        <v>45657</v>
      </c>
      <c r="U26" s="491">
        <f t="shared" si="23"/>
        <v>5</v>
      </c>
      <c r="V26" s="492">
        <f t="shared" si="29"/>
        <v>60</v>
      </c>
      <c r="W26" s="492">
        <f t="shared" si="1"/>
        <v>7</v>
      </c>
      <c r="X26" s="495">
        <v>6</v>
      </c>
      <c r="Y26" s="496">
        <f t="shared" si="24"/>
        <v>45473</v>
      </c>
      <c r="Z26" s="497">
        <v>14</v>
      </c>
      <c r="AA26" s="498">
        <f t="shared" si="2"/>
        <v>2.8</v>
      </c>
      <c r="AB26" s="499">
        <v>0</v>
      </c>
      <c r="AC26" s="500"/>
      <c r="AD26" s="501">
        <f t="shared" si="3"/>
        <v>0</v>
      </c>
      <c r="AE26" s="502">
        <v>0</v>
      </c>
      <c r="AF26" s="501">
        <f t="shared" si="25"/>
        <v>238542.2893852143</v>
      </c>
      <c r="AG26" s="501">
        <f t="shared" si="4"/>
        <v>203797.17249312851</v>
      </c>
      <c r="AH26" s="501">
        <f t="shared" si="5"/>
        <v>318375.79477098194</v>
      </c>
      <c r="AI26" s="501">
        <f t="shared" si="6"/>
        <v>55185.142524849784</v>
      </c>
      <c r="AJ26" s="501">
        <f t="shared" si="7"/>
        <v>32422.641933748266</v>
      </c>
      <c r="AK26" s="501">
        <f t="shared" si="26"/>
        <v>71051727.134168312</v>
      </c>
      <c r="AL26" s="501">
        <f t="shared" si="27"/>
        <v>0</v>
      </c>
      <c r="AM26" s="502">
        <v>71051727.134168312</v>
      </c>
      <c r="AN26" s="501"/>
      <c r="AO26" s="502"/>
      <c r="AP26" s="502"/>
      <c r="AQ26" s="502"/>
      <c r="AR26" s="501">
        <f t="shared" si="8"/>
        <v>738938025.9933989</v>
      </c>
      <c r="AS26" s="501">
        <f t="shared" si="9"/>
        <v>566519153.26160586</v>
      </c>
      <c r="AT26" s="2021">
        <v>12315633.766556649</v>
      </c>
      <c r="AU26" s="503">
        <f t="shared" si="28"/>
        <v>9441985.8876934312</v>
      </c>
      <c r="AV26" s="501">
        <f t="shared" si="10"/>
        <v>434144444.17220354</v>
      </c>
      <c r="AW26" s="504">
        <f t="shared" si="11"/>
        <v>434144444.17220354</v>
      </c>
      <c r="AX26" s="502">
        <v>7235740.736203392</v>
      </c>
      <c r="AY26" s="501">
        <f t="shared" si="12"/>
        <v>87607.784458598049</v>
      </c>
      <c r="AZ26" s="501">
        <f t="shared" si="13"/>
        <v>19551374.502760042</v>
      </c>
      <c r="BA26" s="505">
        <f t="shared" si="14"/>
        <v>4</v>
      </c>
      <c r="BB26" s="506">
        <v>4.5721934767882617</v>
      </c>
      <c r="BC26" s="507" t="s">
        <v>1788</v>
      </c>
      <c r="BD26" s="455" t="s">
        <v>1789</v>
      </c>
      <c r="BE26" s="508"/>
      <c r="BF26" s="509">
        <f t="shared" si="15"/>
        <v>0</v>
      </c>
      <c r="BG26" s="486" t="s">
        <v>1790</v>
      </c>
      <c r="BH26" s="510" t="s">
        <v>1791</v>
      </c>
      <c r="BI26" s="511">
        <v>0.19</v>
      </c>
      <c r="BJ26" s="512" t="s">
        <v>1792</v>
      </c>
      <c r="BK26" s="513">
        <v>15</v>
      </c>
      <c r="BL26" s="2003" t="s">
        <v>1793</v>
      </c>
      <c r="BM26" s="514"/>
      <c r="BN26" s="515" t="s">
        <v>1794</v>
      </c>
      <c r="BO26" s="516"/>
      <c r="BP26" s="516"/>
    </row>
    <row r="27" spans="3:68" ht="40.15" customHeight="1" outlineLevel="1">
      <c r="C27" s="2608"/>
      <c r="D27" s="2611"/>
      <c r="E27" s="2003">
        <v>2</v>
      </c>
      <c r="F27" s="485" t="s">
        <v>1786</v>
      </c>
      <c r="G27" s="486" t="s">
        <v>1787</v>
      </c>
      <c r="H27" s="487">
        <v>247.27</v>
      </c>
      <c r="I27" s="488">
        <f t="shared" si="16"/>
        <v>74.799175000000005</v>
      </c>
      <c r="J27" s="489">
        <v>91.6</v>
      </c>
      <c r="K27" s="488">
        <f t="shared" si="17"/>
        <v>27.708999999999996</v>
      </c>
      <c r="L27" s="490">
        <f t="shared" si="18"/>
        <v>0.37044526226392199</v>
      </c>
      <c r="M27" s="455">
        <v>43831</v>
      </c>
      <c r="N27" s="455">
        <v>43831</v>
      </c>
      <c r="O27" s="455">
        <v>45657</v>
      </c>
      <c r="P27" s="491">
        <f t="shared" si="19"/>
        <v>5</v>
      </c>
      <c r="Q27" s="492">
        <f t="shared" si="20"/>
        <v>60</v>
      </c>
      <c r="R27" s="493">
        <f t="shared" si="21"/>
        <v>7</v>
      </c>
      <c r="S27" s="494">
        <f t="shared" si="22"/>
        <v>0.41643835616438357</v>
      </c>
      <c r="T27" s="455">
        <v>45657</v>
      </c>
      <c r="U27" s="491">
        <f t="shared" si="23"/>
        <v>5</v>
      </c>
      <c r="V27" s="492">
        <f t="shared" si="29"/>
        <v>60</v>
      </c>
      <c r="W27" s="492">
        <f t="shared" si="1"/>
        <v>7</v>
      </c>
      <c r="X27" s="495">
        <v>6</v>
      </c>
      <c r="Y27" s="496">
        <f t="shared" si="24"/>
        <v>45473</v>
      </c>
      <c r="Z27" s="497">
        <v>14</v>
      </c>
      <c r="AA27" s="498">
        <f t="shared" si="2"/>
        <v>2.8</v>
      </c>
      <c r="AB27" s="499">
        <v>0</v>
      </c>
      <c r="AC27" s="500"/>
      <c r="AD27" s="501">
        <f t="shared" si="3"/>
        <v>0</v>
      </c>
      <c r="AE27" s="502">
        <v>0</v>
      </c>
      <c r="AF27" s="501">
        <f t="shared" si="25"/>
        <v>238641.7993450884</v>
      </c>
      <c r="AG27" s="501">
        <f t="shared" si="4"/>
        <v>203882.18822979103</v>
      </c>
      <c r="AH27" s="501">
        <f t="shared" si="5"/>
        <v>318375.79477098194</v>
      </c>
      <c r="AI27" s="501">
        <f t="shared" si="6"/>
        <v>55185.142524849791</v>
      </c>
      <c r="AJ27" s="501">
        <f t="shared" si="7"/>
        <v>32422.641933748269</v>
      </c>
      <c r="AK27" s="501">
        <f t="shared" si="26"/>
        <v>23814246.788838767</v>
      </c>
      <c r="AL27" s="501">
        <f t="shared" si="27"/>
        <v>0</v>
      </c>
      <c r="AM27" s="502">
        <v>23814246.788838767</v>
      </c>
      <c r="AN27" s="501"/>
      <c r="AO27" s="502"/>
      <c r="AP27" s="502"/>
      <c r="AQ27" s="502"/>
      <c r="AR27" s="501">
        <f t="shared" si="8"/>
        <v>247668187.98697087</v>
      </c>
      <c r="AS27" s="501">
        <f t="shared" si="9"/>
        <v>189878944.12334436</v>
      </c>
      <c r="AT27" s="502">
        <v>4127803.1331161815</v>
      </c>
      <c r="AU27" s="503">
        <f t="shared" si="28"/>
        <v>3164649.0687224059</v>
      </c>
      <c r="AV27" s="501">
        <f t="shared" si="10"/>
        <v>145511212.07788652</v>
      </c>
      <c r="AW27" s="504">
        <f t="shared" si="11"/>
        <v>145511212.07788652</v>
      </c>
      <c r="AX27" s="502">
        <v>2425186.8679647753</v>
      </c>
      <c r="AY27" s="501">
        <f t="shared" si="12"/>
        <v>87607.784458598049</v>
      </c>
      <c r="AZ27" s="501">
        <f t="shared" si="13"/>
        <v>6552990.0010809563</v>
      </c>
      <c r="BA27" s="505">
        <f t="shared" si="14"/>
        <v>1</v>
      </c>
      <c r="BB27" s="506">
        <v>1.53245175331133</v>
      </c>
      <c r="BC27" s="507" t="s">
        <v>1788</v>
      </c>
      <c r="BD27" s="455" t="s">
        <v>1789</v>
      </c>
      <c r="BE27" s="508"/>
      <c r="BF27" s="509">
        <f t="shared" si="15"/>
        <v>0</v>
      </c>
      <c r="BG27" s="486" t="s">
        <v>1790</v>
      </c>
      <c r="BH27" s="510" t="s">
        <v>1791</v>
      </c>
      <c r="BI27" s="511">
        <v>0.19</v>
      </c>
      <c r="BJ27" s="512" t="s">
        <v>1792</v>
      </c>
      <c r="BK27" s="513">
        <v>15</v>
      </c>
      <c r="BL27" s="2003" t="s">
        <v>1793</v>
      </c>
      <c r="BM27" s="514"/>
      <c r="BN27" s="515" t="s">
        <v>1794</v>
      </c>
      <c r="BO27" s="516"/>
      <c r="BP27" s="516"/>
    </row>
    <row r="28" spans="3:68" ht="40.15" customHeight="1" outlineLevel="1">
      <c r="C28" s="2608"/>
      <c r="D28" s="2611"/>
      <c r="E28" s="2003">
        <v>3</v>
      </c>
      <c r="F28" s="485" t="s">
        <v>1786</v>
      </c>
      <c r="G28" s="486" t="s">
        <v>1807</v>
      </c>
      <c r="H28" s="487">
        <v>456.38</v>
      </c>
      <c r="I28" s="488">
        <f t="shared" si="16"/>
        <v>138.05494999999999</v>
      </c>
      <c r="J28" s="489">
        <v>169.15</v>
      </c>
      <c r="K28" s="488">
        <f t="shared" si="17"/>
        <v>51.167875000000002</v>
      </c>
      <c r="L28" s="490">
        <f t="shared" si="18"/>
        <v>0.37063412068889962</v>
      </c>
      <c r="M28" s="455">
        <v>44604</v>
      </c>
      <c r="N28" s="455">
        <v>44604</v>
      </c>
      <c r="O28" s="455">
        <v>45869</v>
      </c>
      <c r="P28" s="491">
        <f t="shared" si="19"/>
        <v>3.5</v>
      </c>
      <c r="Q28" s="492">
        <f t="shared" si="20"/>
        <v>42</v>
      </c>
      <c r="R28" s="493">
        <f t="shared" si="21"/>
        <v>14</v>
      </c>
      <c r="S28" s="494">
        <f t="shared" si="22"/>
        <v>0.99726027397260275</v>
      </c>
      <c r="T28" s="455">
        <v>45333</v>
      </c>
      <c r="U28" s="491">
        <f t="shared" si="23"/>
        <v>2</v>
      </c>
      <c r="V28" s="492">
        <f t="shared" si="29"/>
        <v>24</v>
      </c>
      <c r="W28" s="492" t="str">
        <f t="shared" si="1"/>
        <v>만료</v>
      </c>
      <c r="X28" s="495">
        <v>3</v>
      </c>
      <c r="Y28" s="496">
        <f t="shared" si="24"/>
        <v>45777</v>
      </c>
      <c r="Z28" s="497">
        <v>9</v>
      </c>
      <c r="AA28" s="498">
        <f t="shared" si="2"/>
        <v>2.5714285714285712</v>
      </c>
      <c r="AB28" s="499">
        <v>2</v>
      </c>
      <c r="AC28" s="500"/>
      <c r="AD28" s="501">
        <f t="shared" si="3"/>
        <v>0</v>
      </c>
      <c r="AE28" s="502">
        <v>0</v>
      </c>
      <c r="AF28" s="501">
        <f t="shared" si="25"/>
        <v>246841.95120042682</v>
      </c>
      <c r="AG28" s="501">
        <f t="shared" si="4"/>
        <v>204984.96721925549</v>
      </c>
      <c r="AH28" s="501">
        <f t="shared" si="5"/>
        <v>0</v>
      </c>
      <c r="AI28" s="501">
        <f t="shared" si="6"/>
        <v>59233.84645519394</v>
      </c>
      <c r="AJ28" s="501">
        <f t="shared" si="7"/>
        <v>32254.203077108526</v>
      </c>
      <c r="AK28" s="501">
        <f t="shared" si="26"/>
        <v>0</v>
      </c>
      <c r="AL28" s="501">
        <f t="shared" si="27"/>
        <v>0</v>
      </c>
      <c r="AM28" s="501"/>
      <c r="AN28" s="501"/>
      <c r="AO28" s="502"/>
      <c r="AP28" s="502"/>
      <c r="AQ28" s="502"/>
      <c r="AR28" s="501">
        <f t="shared" si="8"/>
        <v>343456079.84853798</v>
      </c>
      <c r="AS28" s="501">
        <f t="shared" si="9"/>
        <v>253503297.03106377</v>
      </c>
      <c r="AT28" s="502">
        <v>8177525.7106794761</v>
      </c>
      <c r="AU28" s="503">
        <f t="shared" si="28"/>
        <v>6035792.786453899</v>
      </c>
      <c r="AV28" s="501">
        <f t="shared" si="10"/>
        <v>187019800.51020268</v>
      </c>
      <c r="AW28" s="504">
        <f t="shared" si="11"/>
        <v>187019800.51020268</v>
      </c>
      <c r="AX28" s="502">
        <v>4452852.3931000633</v>
      </c>
      <c r="AY28" s="501">
        <f t="shared" si="12"/>
        <v>91488.049532302466</v>
      </c>
      <c r="AZ28" s="501">
        <f t="shared" si="13"/>
        <v>12630378.103779539</v>
      </c>
      <c r="BA28" s="505">
        <f t="shared" si="14"/>
        <v>3</v>
      </c>
      <c r="BB28" s="506">
        <v>3</v>
      </c>
      <c r="BC28" s="507" t="s">
        <v>1808</v>
      </c>
      <c r="BD28" s="455" t="s">
        <v>1789</v>
      </c>
      <c r="BE28" s="508">
        <v>45505</v>
      </c>
      <c r="BF28" s="509">
        <f t="shared" si="15"/>
        <v>45505</v>
      </c>
      <c r="BG28" s="486" t="s">
        <v>1790</v>
      </c>
      <c r="BH28" s="510" t="s">
        <v>1791</v>
      </c>
      <c r="BI28" s="511">
        <v>0.19</v>
      </c>
      <c r="BJ28" s="512" t="s">
        <v>1809</v>
      </c>
      <c r="BK28" s="513">
        <v>10</v>
      </c>
      <c r="BL28" s="514"/>
      <c r="BM28" s="514"/>
      <c r="BN28" s="515" t="s">
        <v>1794</v>
      </c>
      <c r="BO28" s="516"/>
      <c r="BP28" s="516"/>
    </row>
    <row r="29" spans="3:68" ht="40.15" customHeight="1" outlineLevel="1">
      <c r="C29" s="2608"/>
      <c r="D29" s="2611"/>
      <c r="E29" s="2003">
        <v>4</v>
      </c>
      <c r="F29" s="485" t="s">
        <v>1786</v>
      </c>
      <c r="G29" s="486" t="s">
        <v>1810</v>
      </c>
      <c r="H29" s="487">
        <v>862.77</v>
      </c>
      <c r="I29" s="488">
        <f t="shared" si="16"/>
        <v>260.98792499999996</v>
      </c>
      <c r="J29" s="489">
        <v>319.75</v>
      </c>
      <c r="K29" s="488">
        <f t="shared" si="17"/>
        <v>96.724374999999995</v>
      </c>
      <c r="L29" s="490">
        <f t="shared" si="18"/>
        <v>0.37060862106934639</v>
      </c>
      <c r="M29" s="455">
        <v>43160</v>
      </c>
      <c r="N29" s="455">
        <v>45352</v>
      </c>
      <c r="O29" s="455">
        <v>46446</v>
      </c>
      <c r="P29" s="491">
        <f t="shared" si="19"/>
        <v>3</v>
      </c>
      <c r="Q29" s="492">
        <f t="shared" si="20"/>
        <v>36</v>
      </c>
      <c r="R29" s="493">
        <f t="shared" si="21"/>
        <v>33</v>
      </c>
      <c r="S29" s="494">
        <f t="shared" si="22"/>
        <v>2.5780821917808221</v>
      </c>
      <c r="T29" s="455">
        <v>46081</v>
      </c>
      <c r="U29" s="491">
        <f t="shared" si="23"/>
        <v>2</v>
      </c>
      <c r="V29" s="492">
        <f t="shared" si="29"/>
        <v>24</v>
      </c>
      <c r="W29" s="492">
        <f t="shared" si="1"/>
        <v>21</v>
      </c>
      <c r="X29" s="495">
        <v>3</v>
      </c>
      <c r="Y29" s="496">
        <f t="shared" si="24"/>
        <v>46354</v>
      </c>
      <c r="Z29" s="497">
        <v>6</v>
      </c>
      <c r="AA29" s="498">
        <f t="shared" si="2"/>
        <v>2</v>
      </c>
      <c r="AB29" s="499">
        <v>0</v>
      </c>
      <c r="AC29" s="500"/>
      <c r="AD29" s="501">
        <f t="shared" si="3"/>
        <v>0</v>
      </c>
      <c r="AE29" s="502">
        <v>0</v>
      </c>
      <c r="AF29" s="501">
        <f t="shared" si="25"/>
        <v>260925.79352412463</v>
      </c>
      <c r="AG29" s="501">
        <f t="shared" si="4"/>
        <v>233818.87244037507</v>
      </c>
      <c r="AH29" s="501">
        <f t="shared" si="5"/>
        <v>519999.99616840517</v>
      </c>
      <c r="AI29" s="501">
        <f t="shared" si="6"/>
        <v>60276.351865704142</v>
      </c>
      <c r="AJ29" s="501">
        <f t="shared" si="7"/>
        <v>35124.996683275676</v>
      </c>
      <c r="AK29" s="501">
        <f t="shared" si="26"/>
        <v>135713720</v>
      </c>
      <c r="AL29" s="501">
        <f t="shared" si="27"/>
        <v>0</v>
      </c>
      <c r="AM29" s="502">
        <v>135713720</v>
      </c>
      <c r="AN29" s="501"/>
      <c r="AO29" s="502"/>
      <c r="AP29" s="502"/>
      <c r="AQ29" s="502"/>
      <c r="AR29" s="501">
        <f t="shared" si="8"/>
        <v>566330400</v>
      </c>
      <c r="AS29" s="501">
        <f t="shared" si="9"/>
        <v>471942000</v>
      </c>
      <c r="AT29" s="502">
        <v>15731400</v>
      </c>
      <c r="AU29" s="503">
        <f t="shared" si="28"/>
        <v>13109500</v>
      </c>
      <c r="AV29" s="501">
        <f t="shared" si="10"/>
        <v>330019200</v>
      </c>
      <c r="AW29" s="504">
        <f t="shared" si="11"/>
        <v>330019200</v>
      </c>
      <c r="AX29" s="502">
        <v>9167200</v>
      </c>
      <c r="AY29" s="501">
        <f t="shared" si="12"/>
        <v>95401.348548979819</v>
      </c>
      <c r="AZ29" s="501">
        <f t="shared" si="13"/>
        <v>24898600</v>
      </c>
      <c r="BA29" s="505">
        <f t="shared" si="14"/>
        <v>5</v>
      </c>
      <c r="BB29" s="506">
        <v>5</v>
      </c>
      <c r="BC29" s="507" t="s">
        <v>1811</v>
      </c>
      <c r="BD29" s="455" t="s">
        <v>1789</v>
      </c>
      <c r="BE29" s="508"/>
      <c r="BF29" s="509">
        <f t="shared" si="15"/>
        <v>0</v>
      </c>
      <c r="BG29" s="486" t="s">
        <v>1790</v>
      </c>
      <c r="BH29" s="510" t="s">
        <v>1791</v>
      </c>
      <c r="BI29" s="511">
        <v>0.19</v>
      </c>
      <c r="BJ29" s="512" t="s">
        <v>1812</v>
      </c>
      <c r="BK29" s="513">
        <v>10</v>
      </c>
      <c r="BL29" s="514"/>
      <c r="BM29" s="514"/>
      <c r="BN29" s="515" t="s">
        <v>1794</v>
      </c>
      <c r="BO29" s="516"/>
      <c r="BP29" s="516"/>
    </row>
    <row r="30" spans="3:68" ht="40.15" customHeight="1" outlineLevel="1">
      <c r="C30" s="2608"/>
      <c r="D30" s="2612"/>
      <c r="E30" s="653">
        <v>5</v>
      </c>
      <c r="F30" s="652" t="s">
        <v>1813</v>
      </c>
      <c r="G30" s="486" t="s">
        <v>1807</v>
      </c>
      <c r="H30" s="487">
        <v>323.39999999999998</v>
      </c>
      <c r="I30" s="1831">
        <f t="shared" si="16"/>
        <v>97.828499999999991</v>
      </c>
      <c r="J30" s="489">
        <v>119.86</v>
      </c>
      <c r="K30" s="1831">
        <f t="shared" si="17"/>
        <v>36.257649999999998</v>
      </c>
      <c r="L30" s="1832">
        <f t="shared" si="18"/>
        <v>0.37062461348175635</v>
      </c>
      <c r="M30" s="455">
        <v>45492</v>
      </c>
      <c r="N30" s="455">
        <v>45505</v>
      </c>
      <c r="O30" s="455">
        <v>45869</v>
      </c>
      <c r="P30" s="1833">
        <f t="shared" si="19"/>
        <v>1</v>
      </c>
      <c r="Q30" s="1834">
        <f t="shared" si="20"/>
        <v>12</v>
      </c>
      <c r="R30" s="656">
        <f t="shared" si="21"/>
        <v>14</v>
      </c>
      <c r="S30" s="494">
        <f t="shared" si="22"/>
        <v>0.99726027397260275</v>
      </c>
      <c r="T30" s="455">
        <v>45869</v>
      </c>
      <c r="U30" s="1833">
        <f t="shared" si="23"/>
        <v>1</v>
      </c>
      <c r="V30" s="492">
        <f t="shared" si="29"/>
        <v>12</v>
      </c>
      <c r="W30" s="1834">
        <f t="shared" si="1"/>
        <v>14</v>
      </c>
      <c r="X30" s="495">
        <v>3</v>
      </c>
      <c r="Y30" s="1835">
        <f t="shared" si="24"/>
        <v>45777</v>
      </c>
      <c r="Z30" s="497">
        <v>1</v>
      </c>
      <c r="AA30" s="498">
        <f t="shared" si="2"/>
        <v>1</v>
      </c>
      <c r="AB30" s="1836">
        <f>-(0.67741935483871)</f>
        <v>-0.67741935483870996</v>
      </c>
      <c r="AC30" s="500"/>
      <c r="AD30" s="503">
        <f t="shared" si="3"/>
        <v>0</v>
      </c>
      <c r="AE30" s="502"/>
      <c r="AF30" s="503">
        <f t="shared" si="25"/>
        <v>260379.32684550711</v>
      </c>
      <c r="AG30" s="503">
        <f t="shared" si="4"/>
        <v>256027.26048365707</v>
      </c>
      <c r="AH30" s="503">
        <f t="shared" si="5"/>
        <v>599998.97780299198</v>
      </c>
      <c r="AI30" s="503">
        <f t="shared" si="6"/>
        <v>60002.964371323287</v>
      </c>
      <c r="AJ30" s="503">
        <f t="shared" si="7"/>
        <v>35000.025554925203</v>
      </c>
      <c r="AK30" s="503">
        <f t="shared" si="26"/>
        <v>58697000</v>
      </c>
      <c r="AL30" s="503">
        <f t="shared" si="27"/>
        <v>0</v>
      </c>
      <c r="AM30" s="502">
        <v>58697000</v>
      </c>
      <c r="AN30" s="503"/>
      <c r="AO30" s="503"/>
      <c r="AP30" s="503"/>
      <c r="AQ30" s="503"/>
      <c r="AR30" s="503">
        <f t="shared" si="8"/>
        <v>70440000</v>
      </c>
      <c r="AS30" s="503">
        <f t="shared" si="9"/>
        <v>68546451.612903222</v>
      </c>
      <c r="AT30" s="502">
        <v>5870000</v>
      </c>
      <c r="AU30" s="503">
        <f t="shared" si="28"/>
        <v>5712204.3010752685</v>
      </c>
      <c r="AV30" s="503">
        <f t="shared" si="10"/>
        <v>41088000</v>
      </c>
      <c r="AW30" s="1837">
        <f t="shared" si="11"/>
        <v>41088000</v>
      </c>
      <c r="AX30" s="502">
        <v>3424000</v>
      </c>
      <c r="AY30" s="503">
        <f t="shared" si="12"/>
        <v>95002.989926248498</v>
      </c>
      <c r="AZ30" s="503">
        <f t="shared" si="13"/>
        <v>9294000</v>
      </c>
      <c r="BA30" s="1838">
        <f t="shared" si="14"/>
        <v>2</v>
      </c>
      <c r="BB30" s="506">
        <v>1</v>
      </c>
      <c r="BC30" s="503"/>
      <c r="BD30" s="455"/>
      <c r="BE30" s="508"/>
      <c r="BF30" s="509">
        <f t="shared" si="15"/>
        <v>0</v>
      </c>
      <c r="BG30" s="486" t="s">
        <v>1790</v>
      </c>
      <c r="BH30" s="510" t="s">
        <v>1791</v>
      </c>
      <c r="BI30" s="511">
        <v>0.19</v>
      </c>
      <c r="BJ30" s="1839" t="s">
        <v>2094</v>
      </c>
      <c r="BK30" s="513">
        <v>10</v>
      </c>
      <c r="BL30" s="659"/>
      <c r="BM30" s="659"/>
      <c r="BN30" s="515" t="s">
        <v>1794</v>
      </c>
      <c r="BO30" s="516"/>
      <c r="BP30" s="516"/>
    </row>
    <row r="31" spans="3:68" ht="40.15" customHeight="1" outlineLevel="1">
      <c r="C31" s="2608"/>
      <c r="D31" s="485">
        <v>31</v>
      </c>
      <c r="E31" s="485"/>
      <c r="F31" s="485" t="s">
        <v>1786</v>
      </c>
      <c r="G31" s="486" t="s">
        <v>1814</v>
      </c>
      <c r="H31" s="487">
        <v>2571.63</v>
      </c>
      <c r="I31" s="488">
        <f t="shared" si="16"/>
        <v>777.91807500000004</v>
      </c>
      <c r="J31" s="489">
        <v>1124.82</v>
      </c>
      <c r="K31" s="488">
        <f t="shared" si="17"/>
        <v>340.25804999999997</v>
      </c>
      <c r="L31" s="490">
        <f t="shared" si="18"/>
        <v>0.4373957373339088</v>
      </c>
      <c r="M31" s="455">
        <v>44348</v>
      </c>
      <c r="N31" s="455">
        <v>44348</v>
      </c>
      <c r="O31" s="455">
        <v>46173</v>
      </c>
      <c r="P31" s="491">
        <f t="shared" si="19"/>
        <v>5</v>
      </c>
      <c r="Q31" s="492">
        <f t="shared" si="20"/>
        <v>60</v>
      </c>
      <c r="R31" s="493">
        <f t="shared" si="21"/>
        <v>24</v>
      </c>
      <c r="S31" s="494">
        <f t="shared" si="22"/>
        <v>1.8301369863013699</v>
      </c>
      <c r="T31" s="455">
        <v>45443</v>
      </c>
      <c r="U31" s="491">
        <f t="shared" si="23"/>
        <v>3</v>
      </c>
      <c r="V31" s="492">
        <f>DATEDIF(N31,T31,"m")+1</f>
        <v>36</v>
      </c>
      <c r="W31" s="492">
        <f t="shared" si="1"/>
        <v>0</v>
      </c>
      <c r="X31" s="495">
        <v>3</v>
      </c>
      <c r="Y31" s="496">
        <f t="shared" si="24"/>
        <v>46081</v>
      </c>
      <c r="Z31" s="497">
        <v>17</v>
      </c>
      <c r="AA31" s="498">
        <f t="shared" si="2"/>
        <v>3.4</v>
      </c>
      <c r="AB31" s="499">
        <v>0</v>
      </c>
      <c r="AC31" s="500"/>
      <c r="AD31" s="501">
        <f t="shared" si="3"/>
        <v>0</v>
      </c>
      <c r="AE31" s="502">
        <v>0</v>
      </c>
      <c r="AF31" s="501">
        <f t="shared" si="25"/>
        <v>208598.47811554617</v>
      </c>
      <c r="AG31" s="501">
        <f t="shared" si="4"/>
        <v>172928.47440875956</v>
      </c>
      <c r="AH31" s="501">
        <f t="shared" si="5"/>
        <v>879448.87879743602</v>
      </c>
      <c r="AI31" s="501">
        <f t="shared" si="6"/>
        <v>55065.556136587766</v>
      </c>
      <c r="AJ31" s="501">
        <f t="shared" si="7"/>
        <v>33975.906808499203</v>
      </c>
      <c r="AK31" s="501">
        <f t="shared" si="26"/>
        <v>684139178.85500979</v>
      </c>
      <c r="AL31" s="501">
        <f t="shared" si="27"/>
        <v>0</v>
      </c>
      <c r="AM31" s="502">
        <v>684139178.85500979</v>
      </c>
      <c r="AN31" s="501"/>
      <c r="AO31" s="502"/>
      <c r="AP31" s="502"/>
      <c r="AQ31" s="502"/>
      <c r="AR31" s="501">
        <f t="shared" si="8"/>
        <v>2570189485.7147279</v>
      </c>
      <c r="AS31" s="501">
        <f t="shared" si="9"/>
        <v>1841969131.4288881</v>
      </c>
      <c r="AT31" s="502">
        <v>42836491.428578794</v>
      </c>
      <c r="AU31" s="503">
        <f t="shared" si="28"/>
        <v>30699485.523814801</v>
      </c>
      <c r="AV31" s="501">
        <f t="shared" si="10"/>
        <v>1585828321.2508259</v>
      </c>
      <c r="AW31" s="504">
        <f t="shared" si="11"/>
        <v>1585828321.2508259</v>
      </c>
      <c r="AX31" s="502">
        <v>26430472.020847097</v>
      </c>
      <c r="AY31" s="501">
        <f t="shared" si="12"/>
        <v>89041.462945086969</v>
      </c>
      <c r="AZ31" s="501">
        <f t="shared" si="13"/>
        <v>69266963.449425891</v>
      </c>
      <c r="BA31" s="505">
        <f t="shared" si="14"/>
        <v>16</v>
      </c>
      <c r="BB31" s="517">
        <v>15.489400916900708</v>
      </c>
      <c r="BC31" s="507" t="s">
        <v>1815</v>
      </c>
      <c r="BD31" s="455" t="s">
        <v>1789</v>
      </c>
      <c r="BE31" s="508">
        <v>45809</v>
      </c>
      <c r="BF31" s="509">
        <f t="shared" si="15"/>
        <v>45809</v>
      </c>
      <c r="BG31" s="486" t="s">
        <v>1790</v>
      </c>
      <c r="BH31" s="510" t="s">
        <v>1791</v>
      </c>
      <c r="BI31" s="511">
        <v>0.19</v>
      </c>
      <c r="BJ31" s="512" t="s">
        <v>1816</v>
      </c>
      <c r="BK31" s="513">
        <v>10</v>
      </c>
      <c r="BL31" s="514"/>
      <c r="BM31" s="514"/>
      <c r="BN31" s="515" t="s">
        <v>1794</v>
      </c>
      <c r="BO31" s="516"/>
      <c r="BP31" s="516"/>
    </row>
    <row r="32" spans="3:68" ht="40.15" customHeight="1" outlineLevel="1">
      <c r="C32" s="2608"/>
      <c r="D32" s="485">
        <v>30</v>
      </c>
      <c r="E32" s="485"/>
      <c r="F32" s="485" t="s">
        <v>1786</v>
      </c>
      <c r="G32" s="486" t="s">
        <v>1814</v>
      </c>
      <c r="H32" s="487">
        <v>2169.64</v>
      </c>
      <c r="I32" s="488">
        <f t="shared" si="16"/>
        <v>656.31609999999989</v>
      </c>
      <c r="J32" s="489">
        <v>940.19</v>
      </c>
      <c r="K32" s="488">
        <f t="shared" si="17"/>
        <v>284.40747500000003</v>
      </c>
      <c r="L32" s="490">
        <f t="shared" si="18"/>
        <v>0.4333391714754522</v>
      </c>
      <c r="M32" s="455">
        <v>44348</v>
      </c>
      <c r="N32" s="455">
        <v>44348</v>
      </c>
      <c r="O32" s="455">
        <v>46173</v>
      </c>
      <c r="P32" s="491">
        <f t="shared" si="19"/>
        <v>5</v>
      </c>
      <c r="Q32" s="492">
        <f t="shared" si="20"/>
        <v>60</v>
      </c>
      <c r="R32" s="493">
        <f t="shared" si="21"/>
        <v>24</v>
      </c>
      <c r="S32" s="494">
        <f t="shared" si="22"/>
        <v>1.8301369863013699</v>
      </c>
      <c r="T32" s="455">
        <v>45443</v>
      </c>
      <c r="U32" s="491">
        <f t="shared" si="23"/>
        <v>3</v>
      </c>
      <c r="V32" s="492">
        <f>DATEDIF(N32,T32,"m")+1</f>
        <v>36</v>
      </c>
      <c r="W32" s="492">
        <f t="shared" si="1"/>
        <v>0</v>
      </c>
      <c r="X32" s="495">
        <v>3</v>
      </c>
      <c r="Y32" s="496">
        <f t="shared" si="24"/>
        <v>46081</v>
      </c>
      <c r="Z32" s="497">
        <v>17</v>
      </c>
      <c r="AA32" s="498">
        <f t="shared" si="2"/>
        <v>3.4</v>
      </c>
      <c r="AB32" s="499">
        <v>0</v>
      </c>
      <c r="AC32" s="500"/>
      <c r="AD32" s="501">
        <f t="shared" si="3"/>
        <v>0</v>
      </c>
      <c r="AE32" s="502">
        <v>0</v>
      </c>
      <c r="AF32" s="501">
        <f t="shared" si="25"/>
        <v>210551.20595588515</v>
      </c>
      <c r="AG32" s="501">
        <f t="shared" si="4"/>
        <v>174547.28893423409</v>
      </c>
      <c r="AH32" s="501">
        <f t="shared" si="5"/>
        <v>879448.87879743625</v>
      </c>
      <c r="AI32" s="501">
        <f t="shared" si="6"/>
        <v>55065.55613658778</v>
      </c>
      <c r="AJ32" s="501">
        <f t="shared" si="7"/>
        <v>33975.90680849921</v>
      </c>
      <c r="AK32" s="501">
        <f t="shared" si="26"/>
        <v>577196458.28170598</v>
      </c>
      <c r="AL32" s="501">
        <f t="shared" si="27"/>
        <v>0</v>
      </c>
      <c r="AM32" s="502">
        <v>577196458.28170598</v>
      </c>
      <c r="AN32" s="501"/>
      <c r="AO32" s="502"/>
      <c r="AP32" s="502"/>
      <c r="AQ32" s="502"/>
      <c r="AR32" s="501">
        <f t="shared" si="8"/>
        <v>2168424662.8737812</v>
      </c>
      <c r="AS32" s="501">
        <f t="shared" si="9"/>
        <v>1554037675.0595434</v>
      </c>
      <c r="AT32" s="502">
        <v>36140411.047896355</v>
      </c>
      <c r="AU32" s="503">
        <f t="shared" si="28"/>
        <v>25900627.917659055</v>
      </c>
      <c r="AV32" s="501">
        <f t="shared" si="10"/>
        <v>1337936079.0310588</v>
      </c>
      <c r="AW32" s="504">
        <f t="shared" si="11"/>
        <v>1337936079.0310588</v>
      </c>
      <c r="AX32" s="502">
        <v>22298934.650517646</v>
      </c>
      <c r="AY32" s="501">
        <f t="shared" si="12"/>
        <v>89041.462945086983</v>
      </c>
      <c r="AZ32" s="501">
        <f t="shared" si="13"/>
        <v>58439345.698413998</v>
      </c>
      <c r="BA32" s="505">
        <f t="shared" si="14"/>
        <v>13</v>
      </c>
      <c r="BB32" s="517">
        <v>13.068141142133374</v>
      </c>
      <c r="BC32" s="507" t="s">
        <v>1815</v>
      </c>
      <c r="BD32" s="455" t="s">
        <v>1789</v>
      </c>
      <c r="BE32" s="508">
        <v>45809</v>
      </c>
      <c r="BF32" s="509">
        <f t="shared" si="15"/>
        <v>45809</v>
      </c>
      <c r="BG32" s="486" t="s">
        <v>1790</v>
      </c>
      <c r="BH32" s="510" t="s">
        <v>1791</v>
      </c>
      <c r="BI32" s="511">
        <v>0.19</v>
      </c>
      <c r="BJ32" s="512" t="s">
        <v>1816</v>
      </c>
      <c r="BK32" s="513">
        <v>10</v>
      </c>
      <c r="BL32" s="514"/>
      <c r="BM32" s="514"/>
      <c r="BN32" s="515" t="s">
        <v>1794</v>
      </c>
      <c r="BO32" s="516"/>
      <c r="BP32" s="516"/>
    </row>
    <row r="33" spans="3:68" ht="40.15" customHeight="1" outlineLevel="1">
      <c r="C33" s="2608"/>
      <c r="D33" s="485">
        <v>29</v>
      </c>
      <c r="E33" s="485"/>
      <c r="F33" s="485" t="s">
        <v>1786</v>
      </c>
      <c r="G33" s="486" t="s">
        <v>1814</v>
      </c>
      <c r="H33" s="487">
        <v>2597.09</v>
      </c>
      <c r="I33" s="488">
        <f t="shared" si="16"/>
        <v>785.61972500000002</v>
      </c>
      <c r="J33" s="489">
        <v>1122.6199999999999</v>
      </c>
      <c r="K33" s="488">
        <f t="shared" si="17"/>
        <v>339.59254999999996</v>
      </c>
      <c r="L33" s="490">
        <f t="shared" si="18"/>
        <v>0.43226072257796216</v>
      </c>
      <c r="M33" s="455">
        <v>44348</v>
      </c>
      <c r="N33" s="455">
        <v>44348</v>
      </c>
      <c r="O33" s="455">
        <v>46173</v>
      </c>
      <c r="P33" s="491">
        <f t="shared" si="19"/>
        <v>5</v>
      </c>
      <c r="Q33" s="492">
        <f t="shared" si="20"/>
        <v>60</v>
      </c>
      <c r="R33" s="493">
        <f t="shared" si="21"/>
        <v>24</v>
      </c>
      <c r="S33" s="494">
        <f t="shared" si="22"/>
        <v>1.8301369863013699</v>
      </c>
      <c r="T33" s="455">
        <v>45443</v>
      </c>
      <c r="U33" s="491">
        <f t="shared" si="23"/>
        <v>3</v>
      </c>
      <c r="V33" s="492">
        <f>DATEDIF(N33,T33,"m")+1</f>
        <v>36</v>
      </c>
      <c r="W33" s="492">
        <f t="shared" si="1"/>
        <v>0</v>
      </c>
      <c r="X33" s="495">
        <v>3</v>
      </c>
      <c r="Y33" s="496">
        <f t="shared" si="24"/>
        <v>46081</v>
      </c>
      <c r="Z33" s="497">
        <v>17</v>
      </c>
      <c r="AA33" s="498">
        <f t="shared" si="2"/>
        <v>3.4</v>
      </c>
      <c r="AB33" s="499">
        <v>0</v>
      </c>
      <c r="AC33" s="500"/>
      <c r="AD33" s="501">
        <f t="shared" si="3"/>
        <v>0</v>
      </c>
      <c r="AE33" s="502">
        <v>0</v>
      </c>
      <c r="AF33" s="501">
        <f t="shared" si="25"/>
        <v>211076.51094907097</v>
      </c>
      <c r="AG33" s="501">
        <f t="shared" si="4"/>
        <v>174982.76761984851</v>
      </c>
      <c r="AH33" s="501">
        <f t="shared" si="5"/>
        <v>879448.87879743613</v>
      </c>
      <c r="AI33" s="501">
        <f t="shared" si="6"/>
        <v>55065.556136587773</v>
      </c>
      <c r="AJ33" s="501">
        <f t="shared" si="7"/>
        <v>33975.906808499203</v>
      </c>
      <c r="AK33" s="501">
        <f t="shared" si="26"/>
        <v>690912386.3124001</v>
      </c>
      <c r="AL33" s="501">
        <f t="shared" si="27"/>
        <v>0</v>
      </c>
      <c r="AM33" s="502">
        <v>690912386.3124001</v>
      </c>
      <c r="AN33" s="501"/>
      <c r="AO33" s="502"/>
      <c r="AP33" s="502"/>
      <c r="AQ33" s="502"/>
      <c r="AR33" s="501">
        <f t="shared" si="8"/>
        <v>2595635224.1398888</v>
      </c>
      <c r="AS33" s="501">
        <f t="shared" si="9"/>
        <v>1860205243.9669206</v>
      </c>
      <c r="AT33" s="502">
        <v>43260587.068998151</v>
      </c>
      <c r="AU33" s="503">
        <f t="shared" si="28"/>
        <v>31003420.73278201</v>
      </c>
      <c r="AV33" s="501">
        <f t="shared" si="10"/>
        <v>1601528553.8111262</v>
      </c>
      <c r="AW33" s="504">
        <f t="shared" si="11"/>
        <v>1601528553.8111262</v>
      </c>
      <c r="AX33" s="502">
        <v>26692142.563518774</v>
      </c>
      <c r="AY33" s="501">
        <f t="shared" si="12"/>
        <v>89041.462945086969</v>
      </c>
      <c r="AZ33" s="501">
        <f t="shared" si="13"/>
        <v>69952729.632516921</v>
      </c>
      <c r="BA33" s="505">
        <f t="shared" si="14"/>
        <v>16</v>
      </c>
      <c r="BB33" s="517">
        <v>15.642751183985901</v>
      </c>
      <c r="BC33" s="507" t="s">
        <v>1815</v>
      </c>
      <c r="BD33" s="455" t="s">
        <v>1789</v>
      </c>
      <c r="BE33" s="508">
        <v>45809</v>
      </c>
      <c r="BF33" s="509">
        <f t="shared" si="15"/>
        <v>45809</v>
      </c>
      <c r="BG33" s="486" t="s">
        <v>1790</v>
      </c>
      <c r="BH33" s="510" t="s">
        <v>1791</v>
      </c>
      <c r="BI33" s="511">
        <v>0.19</v>
      </c>
      <c r="BJ33" s="512" t="s">
        <v>1816</v>
      </c>
      <c r="BK33" s="513">
        <v>10</v>
      </c>
      <c r="BL33" s="514"/>
      <c r="BM33" s="514"/>
      <c r="BN33" s="515" t="s">
        <v>1794</v>
      </c>
      <c r="BO33" s="516"/>
      <c r="BP33" s="516"/>
    </row>
    <row r="34" spans="3:68" ht="30" customHeight="1">
      <c r="C34" s="2608"/>
      <c r="D34" s="534"/>
      <c r="E34" s="535"/>
      <c r="F34" s="536"/>
      <c r="G34" s="537" t="s">
        <v>1722</v>
      </c>
      <c r="H34" s="538">
        <f>H36-H35</f>
        <v>31006.550000000007</v>
      </c>
      <c r="I34" s="538">
        <f t="shared" ref="I34:K34" si="30">I36-I35</f>
        <v>9379.4813750000012</v>
      </c>
      <c r="J34" s="538">
        <f t="shared" si="30"/>
        <v>13017.02</v>
      </c>
      <c r="K34" s="538">
        <f t="shared" si="30"/>
        <v>3937.648549999999</v>
      </c>
      <c r="L34" s="539">
        <f>J34/H34</f>
        <v>0.41981516808545283</v>
      </c>
      <c r="M34" s="540"/>
      <c r="N34" s="541"/>
      <c r="O34" s="541"/>
      <c r="P34" s="542"/>
      <c r="Q34" s="543"/>
      <c r="R34" s="544"/>
      <c r="S34" s="545"/>
      <c r="T34" s="546"/>
      <c r="U34" s="544"/>
      <c r="V34" s="544"/>
      <c r="W34" s="543"/>
      <c r="X34" s="543"/>
      <c r="Y34" s="547"/>
      <c r="Z34" s="548"/>
      <c r="AA34" s="548"/>
      <c r="AB34" s="549"/>
      <c r="AC34" s="550"/>
      <c r="AD34" s="551">
        <f t="shared" si="3"/>
        <v>0</v>
      </c>
      <c r="AE34" s="552">
        <f>SUM(AE13:AE33)</f>
        <v>0</v>
      </c>
      <c r="AF34" s="551"/>
      <c r="AG34" s="551"/>
      <c r="AH34" s="551">
        <f t="shared" si="5"/>
        <v>444136.47148216364</v>
      </c>
      <c r="AI34" s="551">
        <f>AT34/$I$34</f>
        <v>55726.869267761387</v>
      </c>
      <c r="AJ34" s="551">
        <f t="shared" si="7"/>
        <v>32971.393239636454</v>
      </c>
      <c r="AK34" s="553">
        <f t="shared" ref="AK34:AN34" si="31">SUM(AK13:AK33)</f>
        <v>4165769762.225173</v>
      </c>
      <c r="AL34" s="553">
        <f t="shared" si="31"/>
        <v>0</v>
      </c>
      <c r="AM34" s="553">
        <f t="shared" si="31"/>
        <v>4165769762.225173</v>
      </c>
      <c r="AN34" s="553">
        <f t="shared" si="31"/>
        <v>0</v>
      </c>
      <c r="AO34" s="553">
        <f>SUM(AO13:AO33)</f>
        <v>0</v>
      </c>
      <c r="AP34" s="553">
        <f t="shared" ref="AP34:AX34" si="32">SUM(AP13:AP33)</f>
        <v>0</v>
      </c>
      <c r="AQ34" s="553">
        <f t="shared" si="32"/>
        <v>0</v>
      </c>
      <c r="AR34" s="551">
        <f t="shared" si="32"/>
        <v>30002518343.041676</v>
      </c>
      <c r="AS34" s="551">
        <f t="shared" si="32"/>
        <v>22657885872.641766</v>
      </c>
      <c r="AT34" s="553">
        <f t="shared" si="32"/>
        <v>522689132.3840279</v>
      </c>
      <c r="AU34" s="553">
        <f t="shared" si="32"/>
        <v>397095843.22298485</v>
      </c>
      <c r="AV34" s="551">
        <f t="shared" si="32"/>
        <v>17780454947.938267</v>
      </c>
      <c r="AW34" s="551">
        <f t="shared" si="32"/>
        <v>17780454947.938267</v>
      </c>
      <c r="AX34" s="553">
        <f t="shared" si="32"/>
        <v>309254568.79897106</v>
      </c>
      <c r="AY34" s="551">
        <f t="shared" si="12"/>
        <v>88698.262507397842</v>
      </c>
      <c r="AZ34" s="553">
        <f t="shared" si="13"/>
        <v>831943701.1829989</v>
      </c>
      <c r="BA34" s="554">
        <f>SUM(BA13:BA33)</f>
        <v>188</v>
      </c>
      <c r="BB34" s="554">
        <f>SUM(BB13:BB33)</f>
        <v>188.01936871025143</v>
      </c>
      <c r="BC34" s="551"/>
      <c r="BD34" s="540"/>
      <c r="BE34" s="555"/>
      <c r="BF34" s="556"/>
      <c r="BG34" s="537"/>
      <c r="BH34" s="557"/>
      <c r="BI34" s="558"/>
      <c r="BJ34" s="559"/>
      <c r="BK34" s="560"/>
      <c r="BL34" s="557"/>
      <c r="BM34" s="557"/>
      <c r="BN34" s="541"/>
      <c r="BO34" s="561"/>
      <c r="BP34" s="561"/>
    </row>
    <row r="35" spans="3:68" ht="30" customHeight="1">
      <c r="C35" s="2608"/>
      <c r="D35" s="562" t="s">
        <v>1817</v>
      </c>
      <c r="E35" s="563"/>
      <c r="F35" s="564"/>
      <c r="G35" s="537" t="s">
        <v>470</v>
      </c>
      <c r="H35" s="538">
        <f>SUMIF($G$13:$G$33,$G$35,H13:H33)</f>
        <v>0</v>
      </c>
      <c r="I35" s="538">
        <f>SUMIF($G$13:$G$33,$G$35,I13:I33)</f>
        <v>0</v>
      </c>
      <c r="J35" s="538">
        <f>SUMIF($G$13:$G$33,$G$35,J13:J33)</f>
        <v>0</v>
      </c>
      <c r="K35" s="538">
        <f>SUMIF($G$13:$G$33,$G$35,K13:K33)</f>
        <v>0</v>
      </c>
      <c r="L35" s="539" t="e">
        <f t="shared" ref="L35:L36" si="33">J35/H35</f>
        <v>#DIV/0!</v>
      </c>
      <c r="M35" s="540"/>
      <c r="N35" s="541"/>
      <c r="O35" s="541"/>
      <c r="P35" s="542"/>
      <c r="Q35" s="543"/>
      <c r="R35" s="544"/>
      <c r="S35" s="544"/>
      <c r="T35" s="546"/>
      <c r="U35" s="544"/>
      <c r="V35" s="544"/>
      <c r="W35" s="543"/>
      <c r="X35" s="543"/>
      <c r="Y35" s="547"/>
      <c r="Z35" s="548"/>
      <c r="AA35" s="548"/>
      <c r="AB35" s="549"/>
      <c r="AC35" s="550"/>
      <c r="AD35" s="551"/>
      <c r="AE35" s="552"/>
      <c r="AF35" s="551"/>
      <c r="AG35" s="551"/>
      <c r="AH35" s="551"/>
      <c r="AI35" s="551"/>
      <c r="AJ35" s="551" t="e">
        <f t="shared" si="7"/>
        <v>#DIV/0!</v>
      </c>
      <c r="AK35" s="551"/>
      <c r="AL35" s="551"/>
      <c r="AM35" s="551"/>
      <c r="AN35" s="551"/>
      <c r="AO35" s="552"/>
      <c r="AP35" s="552"/>
      <c r="AQ35" s="552"/>
      <c r="AR35" s="551"/>
      <c r="AS35" s="551"/>
      <c r="AT35" s="552"/>
      <c r="AU35" s="553"/>
      <c r="AV35" s="551"/>
      <c r="AW35" s="565"/>
      <c r="AX35" s="552"/>
      <c r="AY35" s="551"/>
      <c r="AZ35" s="551"/>
      <c r="BA35" s="566"/>
      <c r="BB35" s="567"/>
      <c r="BC35" s="551"/>
      <c r="BD35" s="540"/>
      <c r="BE35" s="555"/>
      <c r="BF35" s="556"/>
      <c r="BG35" s="537"/>
      <c r="BH35" s="557"/>
      <c r="BI35" s="558"/>
      <c r="BJ35" s="559"/>
      <c r="BK35" s="560"/>
      <c r="BL35" s="557"/>
      <c r="BM35" s="557"/>
      <c r="BN35" s="541"/>
      <c r="BO35" s="561"/>
      <c r="BP35" s="561"/>
    </row>
    <row r="36" spans="3:68" ht="30" customHeight="1">
      <c r="C36" s="2609"/>
      <c r="D36" s="2022"/>
      <c r="E36" s="2023"/>
      <c r="F36" s="2024"/>
      <c r="G36" s="537" t="s">
        <v>1818</v>
      </c>
      <c r="H36" s="538">
        <f>SUM(H13:H33)</f>
        <v>31006.550000000007</v>
      </c>
      <c r="I36" s="538">
        <f>SUM(I13:I33)</f>
        <v>9379.4813750000012</v>
      </c>
      <c r="J36" s="538">
        <f>SUM(J13:J33)</f>
        <v>13017.02</v>
      </c>
      <c r="K36" s="538">
        <f>SUM(K13:K33)</f>
        <v>3937.648549999999</v>
      </c>
      <c r="L36" s="539">
        <f t="shared" si="33"/>
        <v>0.41981516808545283</v>
      </c>
      <c r="M36" s="540"/>
      <c r="N36" s="541"/>
      <c r="O36" s="541"/>
      <c r="P36" s="542"/>
      <c r="Q36" s="543"/>
      <c r="R36" s="544"/>
      <c r="S36" s="544"/>
      <c r="T36" s="546"/>
      <c r="U36" s="544"/>
      <c r="V36" s="544"/>
      <c r="W36" s="543"/>
      <c r="X36" s="543"/>
      <c r="Y36" s="547"/>
      <c r="Z36" s="548"/>
      <c r="AA36" s="548"/>
      <c r="AB36" s="549"/>
      <c r="AC36" s="550"/>
      <c r="AD36" s="551"/>
      <c r="AE36" s="552"/>
      <c r="AF36" s="551"/>
      <c r="AG36" s="551"/>
      <c r="AH36" s="551"/>
      <c r="AI36" s="551"/>
      <c r="AJ36" s="551">
        <f t="shared" si="7"/>
        <v>0</v>
      </c>
      <c r="AK36" s="551"/>
      <c r="AL36" s="551"/>
      <c r="AM36" s="551"/>
      <c r="AN36" s="551"/>
      <c r="AO36" s="552"/>
      <c r="AP36" s="552"/>
      <c r="AQ36" s="552"/>
      <c r="AR36" s="551"/>
      <c r="AS36" s="551"/>
      <c r="AT36" s="552"/>
      <c r="AU36" s="553"/>
      <c r="AV36" s="551"/>
      <c r="AW36" s="565"/>
      <c r="AX36" s="552"/>
      <c r="AY36" s="551"/>
      <c r="AZ36" s="551"/>
      <c r="BA36" s="566"/>
      <c r="BB36" s="567"/>
      <c r="BC36" s="551"/>
      <c r="BD36" s="540"/>
      <c r="BE36" s="555"/>
      <c r="BF36" s="556"/>
      <c r="BG36" s="537"/>
      <c r="BH36" s="557"/>
      <c r="BI36" s="558"/>
      <c r="BJ36" s="559"/>
      <c r="BK36" s="560"/>
      <c r="BL36" s="557"/>
      <c r="BM36" s="557"/>
      <c r="BN36" s="541"/>
      <c r="BO36" s="561"/>
      <c r="BP36" s="561"/>
    </row>
    <row r="37" spans="3:68" ht="40.15" customHeight="1" outlineLevel="1">
      <c r="C37" s="2607" t="s">
        <v>1819</v>
      </c>
      <c r="D37" s="2610">
        <v>28</v>
      </c>
      <c r="E37" s="485">
        <v>1</v>
      </c>
      <c r="F37" s="485" t="s">
        <v>1786</v>
      </c>
      <c r="G37" s="486" t="s">
        <v>656</v>
      </c>
      <c r="H37" s="487">
        <v>271.76</v>
      </c>
      <c r="I37" s="488">
        <f t="shared" si="16"/>
        <v>82.207399999999993</v>
      </c>
      <c r="J37" s="489">
        <v>101.52</v>
      </c>
      <c r="K37" s="488">
        <f t="shared" si="17"/>
        <v>30.709799999999998</v>
      </c>
      <c r="L37" s="490">
        <f>J37/H37</f>
        <v>0.37356491021489552</v>
      </c>
      <c r="M37" s="455">
        <v>44541</v>
      </c>
      <c r="N37" s="455">
        <v>44541</v>
      </c>
      <c r="O37" s="455">
        <v>46366</v>
      </c>
      <c r="P37" s="491">
        <f>Q37/$P$1</f>
        <v>5</v>
      </c>
      <c r="Q37" s="492">
        <f t="shared" si="20"/>
        <v>60</v>
      </c>
      <c r="R37" s="493">
        <f>IFERROR(DATEDIF($R$1,O37,"m"),0)</f>
        <v>30</v>
      </c>
      <c r="S37" s="494">
        <f t="shared" ref="S37:S62" si="34">(O37-$G$4)*$H37/$H37/$S$1</f>
        <v>2.3589041095890413</v>
      </c>
      <c r="T37" s="455">
        <v>45636</v>
      </c>
      <c r="U37" s="491">
        <f>V37/$P$1</f>
        <v>3</v>
      </c>
      <c r="V37" s="492">
        <f t="shared" ref="V37:V52" si="35">DATEDIF(N37,T37,"m")+1</f>
        <v>36</v>
      </c>
      <c r="W37" s="492">
        <f t="shared" si="1"/>
        <v>6</v>
      </c>
      <c r="X37" s="495">
        <v>3</v>
      </c>
      <c r="Y37" s="496">
        <f t="shared" si="24"/>
        <v>46275</v>
      </c>
      <c r="Z37" s="497">
        <v>20</v>
      </c>
      <c r="AA37" s="498">
        <f t="shared" ref="AA37:AA62" si="36">Z37/Q37*12</f>
        <v>4</v>
      </c>
      <c r="AB37" s="499"/>
      <c r="AC37" s="500">
        <v>-3</v>
      </c>
      <c r="AD37" s="501">
        <f t="shared" ref="AD37:AD63" si="37">AE37/K37</f>
        <v>0</v>
      </c>
      <c r="AE37" s="502">
        <v>0</v>
      </c>
      <c r="AF37" s="501">
        <f t="shared" si="25"/>
        <v>237836.50495932897</v>
      </c>
      <c r="AG37" s="501">
        <f t="shared" si="4"/>
        <v>190954.45644929851</v>
      </c>
      <c r="AH37" s="501">
        <f t="shared" ref="AH37:AH63" si="38">AK37/I37</f>
        <v>165004.61029055779</v>
      </c>
      <c r="AI37" s="501">
        <f t="shared" ref="AI37:AI62" si="39">AT37/I37</f>
        <v>57222.342514177559</v>
      </c>
      <c r="AJ37" s="501">
        <f t="shared" si="7"/>
        <v>31212.518581052318</v>
      </c>
      <c r="AK37" s="501">
        <f>SUM(AL37,AM37,AN37)</f>
        <v>13564600</v>
      </c>
      <c r="AL37" s="501">
        <f t="shared" si="27"/>
        <v>0</v>
      </c>
      <c r="AM37" s="501"/>
      <c r="AN37" s="502">
        <v>13564600</v>
      </c>
      <c r="AO37" s="502"/>
      <c r="AP37" s="502"/>
      <c r="AQ37" s="502"/>
      <c r="AR37" s="501">
        <f t="shared" ref="AR37:AR62" si="40">Q37*I37*AI37</f>
        <v>282246000</v>
      </c>
      <c r="AS37" s="501">
        <f t="shared" ref="AS37:AS62" si="41">(Q37-Z37-AB37)*I37*AI37</f>
        <v>188164000</v>
      </c>
      <c r="AT37" s="502">
        <v>4704100</v>
      </c>
      <c r="AU37" s="503">
        <f t="shared" si="28"/>
        <v>3136066.6666666665</v>
      </c>
      <c r="AV37" s="501">
        <f t="shared" ref="AV37:AV62" si="42">Q37*I37*AJ37</f>
        <v>153954000</v>
      </c>
      <c r="AW37" s="504">
        <f t="shared" ref="AW37:AW62" si="43">(Q37-AC37)*I37*AJ37</f>
        <v>161651700</v>
      </c>
      <c r="AX37" s="502">
        <v>2565900</v>
      </c>
      <c r="AY37" s="501">
        <f t="shared" si="12"/>
        <v>88434.861095229877</v>
      </c>
      <c r="AZ37" s="501">
        <f t="shared" si="13"/>
        <v>7270000</v>
      </c>
      <c r="BA37" s="505">
        <f t="shared" ref="BA37:BA62" si="44">ROUND(I37/$BA$1,)</f>
        <v>2</v>
      </c>
      <c r="BB37" s="506">
        <v>1</v>
      </c>
      <c r="BC37" s="507" t="s">
        <v>1815</v>
      </c>
      <c r="BD37" s="455" t="s">
        <v>1789</v>
      </c>
      <c r="BE37" s="508">
        <v>45637</v>
      </c>
      <c r="BF37" s="509">
        <f t="shared" si="15"/>
        <v>45637</v>
      </c>
      <c r="BG37" s="486" t="s">
        <v>1790</v>
      </c>
      <c r="BH37" s="510" t="s">
        <v>1791</v>
      </c>
      <c r="BI37" s="511">
        <v>0.19</v>
      </c>
      <c r="BJ37" s="512" t="s">
        <v>1820</v>
      </c>
      <c r="BK37" s="513">
        <v>10</v>
      </c>
      <c r="BL37" s="514"/>
      <c r="BM37" s="514"/>
      <c r="BN37" s="515" t="s">
        <v>1794</v>
      </c>
      <c r="BO37" s="516"/>
      <c r="BP37" s="516"/>
    </row>
    <row r="38" spans="3:68" ht="40.15" customHeight="1" outlineLevel="1">
      <c r="C38" s="2608"/>
      <c r="D38" s="2611"/>
      <c r="E38" s="571">
        <v>2</v>
      </c>
      <c r="F38" s="485" t="s">
        <v>1786</v>
      </c>
      <c r="G38" s="572" t="s">
        <v>1814</v>
      </c>
      <c r="H38" s="573">
        <v>1382.54</v>
      </c>
      <c r="I38" s="488">
        <f t="shared" si="16"/>
        <v>418.21834999999999</v>
      </c>
      <c r="J38" s="489">
        <v>516.49</v>
      </c>
      <c r="K38" s="488">
        <f t="shared" si="17"/>
        <v>156.238225</v>
      </c>
      <c r="L38" s="490">
        <f>J38/H38</f>
        <v>0.37358051123294805</v>
      </c>
      <c r="M38" s="455">
        <v>44348</v>
      </c>
      <c r="N38" s="455">
        <v>44348</v>
      </c>
      <c r="O38" s="455">
        <v>46173</v>
      </c>
      <c r="P38" s="574">
        <f>Q38/$P$1</f>
        <v>5</v>
      </c>
      <c r="Q38" s="492">
        <f t="shared" si="20"/>
        <v>60</v>
      </c>
      <c r="R38" s="493">
        <f t="shared" ref="R38:R62" si="45">IFERROR(DATEDIF($R$1,O38,"m"),0)</f>
        <v>24</v>
      </c>
      <c r="S38" s="494">
        <f t="shared" si="34"/>
        <v>1.8301369863013699</v>
      </c>
      <c r="T38" s="455">
        <v>45443</v>
      </c>
      <c r="U38" s="574">
        <f>V38/$P$1</f>
        <v>3</v>
      </c>
      <c r="V38" s="492">
        <f t="shared" si="35"/>
        <v>36</v>
      </c>
      <c r="W38" s="492">
        <f t="shared" si="1"/>
        <v>0</v>
      </c>
      <c r="X38" s="495">
        <v>3</v>
      </c>
      <c r="Y38" s="496">
        <f t="shared" si="24"/>
        <v>46081</v>
      </c>
      <c r="Z38" s="575">
        <v>17</v>
      </c>
      <c r="AA38" s="498">
        <f t="shared" si="36"/>
        <v>3.4</v>
      </c>
      <c r="AB38" s="499">
        <v>0</v>
      </c>
      <c r="AC38" s="576"/>
      <c r="AD38" s="570">
        <f t="shared" si="37"/>
        <v>0</v>
      </c>
      <c r="AE38" s="577">
        <v>0</v>
      </c>
      <c r="AF38" s="501">
        <f t="shared" si="25"/>
        <v>244231.38359374242</v>
      </c>
      <c r="AG38" s="501">
        <f t="shared" si="4"/>
        <v>202468.21045459402</v>
      </c>
      <c r="AH38" s="501">
        <f t="shared" si="38"/>
        <v>879448.87879743613</v>
      </c>
      <c r="AI38" s="501">
        <f t="shared" si="39"/>
        <v>55065.556136587766</v>
      </c>
      <c r="AJ38" s="570">
        <f t="shared" si="7"/>
        <v>33975.906808499203</v>
      </c>
      <c r="AK38" s="570">
        <f t="shared" ref="AK38:AK62" si="46">SUM(AL38,AM38,AN38)</f>
        <v>367801659.00001371</v>
      </c>
      <c r="AL38" s="570">
        <f t="shared" si="27"/>
        <v>0</v>
      </c>
      <c r="AM38" s="577">
        <v>367801659.00001371</v>
      </c>
      <c r="AN38" s="570"/>
      <c r="AO38" s="577"/>
      <c r="AP38" s="577"/>
      <c r="AQ38" s="577"/>
      <c r="AR38" s="570">
        <f t="shared" si="40"/>
        <v>1381765561.7565665</v>
      </c>
      <c r="AS38" s="570">
        <f t="shared" si="41"/>
        <v>990265319.25887263</v>
      </c>
      <c r="AT38" s="577">
        <v>23029426.02927611</v>
      </c>
      <c r="AU38" s="578">
        <f t="shared" si="28"/>
        <v>16504421.987647878</v>
      </c>
      <c r="AV38" s="570">
        <f t="shared" si="42"/>
        <v>852560861.11225808</v>
      </c>
      <c r="AW38" s="579">
        <f t="shared" si="43"/>
        <v>852560861.11225808</v>
      </c>
      <c r="AX38" s="577">
        <v>14209347.685204303</v>
      </c>
      <c r="AY38" s="570">
        <f t="shared" si="12"/>
        <v>89041.462945086983</v>
      </c>
      <c r="AZ38" s="570">
        <f t="shared" si="13"/>
        <v>37238773.714480415</v>
      </c>
      <c r="BA38" s="505">
        <f t="shared" si="44"/>
        <v>8</v>
      </c>
      <c r="BB38" s="580">
        <v>8.3272929401398734</v>
      </c>
      <c r="BC38" s="507" t="s">
        <v>1815</v>
      </c>
      <c r="BD38" s="455" t="s">
        <v>1789</v>
      </c>
      <c r="BE38" s="508">
        <v>45809</v>
      </c>
      <c r="BF38" s="509">
        <f t="shared" si="15"/>
        <v>45809</v>
      </c>
      <c r="BG38" s="486" t="s">
        <v>1790</v>
      </c>
      <c r="BH38" s="510" t="s">
        <v>1791</v>
      </c>
      <c r="BI38" s="511">
        <v>0.19</v>
      </c>
      <c r="BJ38" s="512" t="s">
        <v>1816</v>
      </c>
      <c r="BK38" s="513">
        <v>10</v>
      </c>
      <c r="BL38" s="514"/>
      <c r="BM38" s="514"/>
      <c r="BN38" s="515" t="s">
        <v>1794</v>
      </c>
      <c r="BO38" s="516"/>
      <c r="BP38" s="516"/>
    </row>
    <row r="39" spans="3:68" ht="40.15" customHeight="1" outlineLevel="1">
      <c r="C39" s="2608"/>
      <c r="D39" s="2612"/>
      <c r="E39" s="571">
        <v>3</v>
      </c>
      <c r="F39" s="485" t="s">
        <v>1786</v>
      </c>
      <c r="G39" s="572" t="s">
        <v>1814</v>
      </c>
      <c r="H39" s="573">
        <v>679.94</v>
      </c>
      <c r="I39" s="488">
        <f t="shared" si="16"/>
        <v>205.68185</v>
      </c>
      <c r="J39" s="489">
        <v>253.99</v>
      </c>
      <c r="K39" s="488">
        <f t="shared" si="17"/>
        <v>76.831975</v>
      </c>
      <c r="L39" s="490">
        <f t="shared" ref="L39:L62" si="47">J39/H39</f>
        <v>0.3735476659705268</v>
      </c>
      <c r="M39" s="455">
        <v>44562</v>
      </c>
      <c r="N39" s="581">
        <v>44562</v>
      </c>
      <c r="O39" s="581">
        <v>46173</v>
      </c>
      <c r="P39" s="574">
        <f t="shared" ref="P39:P62" si="48">Q39/$P$1</f>
        <v>4.416666666666667</v>
      </c>
      <c r="Q39" s="492">
        <f t="shared" si="20"/>
        <v>53</v>
      </c>
      <c r="R39" s="493">
        <f t="shared" si="45"/>
        <v>24</v>
      </c>
      <c r="S39" s="494">
        <f t="shared" si="34"/>
        <v>1.8301369863013699</v>
      </c>
      <c r="T39" s="455">
        <v>45657</v>
      </c>
      <c r="U39" s="574">
        <f t="shared" ref="U39:U61" si="49">V39/$P$1</f>
        <v>3</v>
      </c>
      <c r="V39" s="492">
        <f t="shared" si="35"/>
        <v>36</v>
      </c>
      <c r="W39" s="492">
        <f t="shared" si="1"/>
        <v>7</v>
      </c>
      <c r="X39" s="495">
        <v>3</v>
      </c>
      <c r="Y39" s="496">
        <f t="shared" si="24"/>
        <v>46081</v>
      </c>
      <c r="Z39" s="575">
        <v>15</v>
      </c>
      <c r="AA39" s="498">
        <f t="shared" si="36"/>
        <v>3.3962264150943398</v>
      </c>
      <c r="AB39" s="575">
        <v>1.5</v>
      </c>
      <c r="AC39" s="576"/>
      <c r="AD39" s="570">
        <f t="shared" si="37"/>
        <v>0</v>
      </c>
      <c r="AE39" s="577">
        <v>0</v>
      </c>
      <c r="AF39" s="501">
        <f t="shared" si="25"/>
        <v>244236.98596840704</v>
      </c>
      <c r="AG39" s="501">
        <f t="shared" si="4"/>
        <v>198348.44090406614</v>
      </c>
      <c r="AH39" s="501">
        <f t="shared" si="38"/>
        <v>879435.88605411712</v>
      </c>
      <c r="AI39" s="501">
        <f t="shared" si="39"/>
        <v>55060.764962975583</v>
      </c>
      <c r="AJ39" s="570">
        <f t="shared" si="7"/>
        <v>33974.801374063878</v>
      </c>
      <c r="AK39" s="570">
        <f t="shared" si="46"/>
        <v>180884000</v>
      </c>
      <c r="AL39" s="570">
        <f t="shared" si="27"/>
        <v>0</v>
      </c>
      <c r="AM39" s="577">
        <v>180884000</v>
      </c>
      <c r="AN39" s="570"/>
      <c r="AO39" s="577"/>
      <c r="AP39" s="577"/>
      <c r="AQ39" s="577"/>
      <c r="AR39" s="570">
        <f t="shared" si="40"/>
        <v>600225000</v>
      </c>
      <c r="AS39" s="570">
        <f t="shared" si="41"/>
        <v>413362500</v>
      </c>
      <c r="AT39" s="577">
        <v>11325000</v>
      </c>
      <c r="AU39" s="578">
        <f t="shared" si="28"/>
        <v>7799292.4528301889</v>
      </c>
      <c r="AV39" s="570">
        <f t="shared" si="42"/>
        <v>370364000</v>
      </c>
      <c r="AW39" s="579">
        <f t="shared" si="43"/>
        <v>370364000</v>
      </c>
      <c r="AX39" s="577">
        <v>6988000</v>
      </c>
      <c r="AY39" s="570">
        <f t="shared" si="12"/>
        <v>89035.566337039461</v>
      </c>
      <c r="AZ39" s="570">
        <f t="shared" si="13"/>
        <v>18313000</v>
      </c>
      <c r="BA39" s="505">
        <f t="shared" si="44"/>
        <v>4</v>
      </c>
      <c r="BB39" s="582">
        <v>7</v>
      </c>
      <c r="BC39" s="507" t="s">
        <v>1815</v>
      </c>
      <c r="BD39" s="455" t="s">
        <v>1789</v>
      </c>
      <c r="BE39" s="508">
        <v>45809</v>
      </c>
      <c r="BF39" s="509">
        <f t="shared" si="15"/>
        <v>45809</v>
      </c>
      <c r="BG39" s="486" t="s">
        <v>1790</v>
      </c>
      <c r="BH39" s="510" t="s">
        <v>1791</v>
      </c>
      <c r="BI39" s="511">
        <v>0.19</v>
      </c>
      <c r="BJ39" s="512" t="s">
        <v>1821</v>
      </c>
      <c r="BK39" s="513">
        <v>10</v>
      </c>
      <c r="BL39" s="514"/>
      <c r="BM39" s="514"/>
      <c r="BN39" s="515" t="s">
        <v>1794</v>
      </c>
      <c r="BO39" s="516"/>
      <c r="BP39" s="516"/>
    </row>
    <row r="40" spans="3:68" ht="40.15" customHeight="1" outlineLevel="1">
      <c r="C40" s="2608"/>
      <c r="D40" s="485">
        <v>27</v>
      </c>
      <c r="E40" s="485"/>
      <c r="F40" s="485" t="s">
        <v>1786</v>
      </c>
      <c r="G40" s="486" t="s">
        <v>1822</v>
      </c>
      <c r="H40" s="487">
        <v>2597.09</v>
      </c>
      <c r="I40" s="488">
        <f t="shared" si="16"/>
        <v>785.61972500000002</v>
      </c>
      <c r="J40" s="489">
        <v>973.77</v>
      </c>
      <c r="K40" s="488">
        <f t="shared" si="17"/>
        <v>294.565425</v>
      </c>
      <c r="L40" s="490">
        <f t="shared" si="47"/>
        <v>0.3749465748202796</v>
      </c>
      <c r="M40" s="455">
        <v>44166</v>
      </c>
      <c r="N40" s="455">
        <v>45261</v>
      </c>
      <c r="O40" s="455">
        <v>46356</v>
      </c>
      <c r="P40" s="574">
        <f t="shared" si="48"/>
        <v>3</v>
      </c>
      <c r="Q40" s="492">
        <f t="shared" si="20"/>
        <v>36</v>
      </c>
      <c r="R40" s="493">
        <f t="shared" si="45"/>
        <v>30</v>
      </c>
      <c r="S40" s="494">
        <f t="shared" si="34"/>
        <v>2.331506849315069</v>
      </c>
      <c r="T40" s="455">
        <v>45626</v>
      </c>
      <c r="U40" s="574">
        <f t="shared" si="49"/>
        <v>1</v>
      </c>
      <c r="V40" s="492">
        <f t="shared" si="35"/>
        <v>12</v>
      </c>
      <c r="W40" s="492">
        <f t="shared" si="1"/>
        <v>6</v>
      </c>
      <c r="X40" s="495">
        <v>3</v>
      </c>
      <c r="Y40" s="496">
        <f t="shared" si="24"/>
        <v>46264</v>
      </c>
      <c r="Z40" s="497">
        <v>6</v>
      </c>
      <c r="AA40" s="583">
        <f t="shared" si="36"/>
        <v>2</v>
      </c>
      <c r="AB40" s="499">
        <v>0</v>
      </c>
      <c r="AC40" s="500"/>
      <c r="AD40" s="501">
        <f t="shared" si="37"/>
        <v>0</v>
      </c>
      <c r="AE40" s="502">
        <v>0</v>
      </c>
      <c r="AF40" s="501">
        <f t="shared" si="25"/>
        <v>245080.29812012854</v>
      </c>
      <c r="AG40" s="501">
        <f t="shared" si="4"/>
        <v>221833.28828548934</v>
      </c>
      <c r="AH40" s="501">
        <f t="shared" si="38"/>
        <v>1199618.4611460159</v>
      </c>
      <c r="AI40" s="501">
        <f t="shared" si="39"/>
        <v>52298.320273867925</v>
      </c>
      <c r="AJ40" s="501">
        <f t="shared" si="7"/>
        <v>36594.651909342247</v>
      </c>
      <c r="AK40" s="501">
        <f t="shared" si="46"/>
        <v>942443925.55045617</v>
      </c>
      <c r="AL40" s="501">
        <f t="shared" si="27"/>
        <v>0</v>
      </c>
      <c r="AM40" s="502">
        <v>942443925.55045617</v>
      </c>
      <c r="AN40" s="502"/>
      <c r="AO40" s="502"/>
      <c r="AP40" s="502"/>
      <c r="AQ40" s="502"/>
      <c r="AR40" s="501">
        <f t="shared" si="40"/>
        <v>1479117311.6946497</v>
      </c>
      <c r="AS40" s="501">
        <f t="shared" si="41"/>
        <v>1232597759.7455413</v>
      </c>
      <c r="AT40" s="502">
        <v>41086591.991518043</v>
      </c>
      <c r="AU40" s="503">
        <f t="shared" si="28"/>
        <v>34238826.659598373</v>
      </c>
      <c r="AV40" s="501">
        <f t="shared" si="42"/>
        <v>1034981293.3015746</v>
      </c>
      <c r="AW40" s="504">
        <f t="shared" si="43"/>
        <v>1034981293.3015746</v>
      </c>
      <c r="AX40" s="502">
        <v>28749480.36948818</v>
      </c>
      <c r="AY40" s="501">
        <f t="shared" si="12"/>
        <v>88892.972183210179</v>
      </c>
      <c r="AZ40" s="501">
        <f t="shared" si="13"/>
        <v>69836072.36100623</v>
      </c>
      <c r="BA40" s="505">
        <f t="shared" si="44"/>
        <v>16</v>
      </c>
      <c r="BB40" s="506">
        <v>16.863010515308197</v>
      </c>
      <c r="BC40" s="507" t="s">
        <v>1823</v>
      </c>
      <c r="BD40" s="455" t="s">
        <v>1789</v>
      </c>
      <c r="BE40" s="508">
        <v>45636</v>
      </c>
      <c r="BF40" s="509">
        <f t="shared" si="15"/>
        <v>45636</v>
      </c>
      <c r="BG40" s="486" t="s">
        <v>1790</v>
      </c>
      <c r="BH40" s="510" t="s">
        <v>1824</v>
      </c>
      <c r="BI40" s="511">
        <v>0.19</v>
      </c>
      <c r="BJ40" s="512" t="s">
        <v>1825</v>
      </c>
      <c r="BK40" s="513">
        <v>10</v>
      </c>
      <c r="BL40" s="514"/>
      <c r="BM40" s="514"/>
      <c r="BN40" s="515" t="s">
        <v>1794</v>
      </c>
      <c r="BO40" s="516"/>
      <c r="BP40" s="516"/>
    </row>
    <row r="41" spans="3:68" ht="40.15" customHeight="1" outlineLevel="1">
      <c r="C41" s="2608"/>
      <c r="D41" s="485">
        <v>26</v>
      </c>
      <c r="E41" s="485"/>
      <c r="F41" s="485" t="s">
        <v>1786</v>
      </c>
      <c r="G41" s="486" t="s">
        <v>1822</v>
      </c>
      <c r="H41" s="487">
        <v>2122.56</v>
      </c>
      <c r="I41" s="488">
        <f t="shared" si="16"/>
        <v>642.07439999999997</v>
      </c>
      <c r="J41" s="489">
        <v>767.7</v>
      </c>
      <c r="K41" s="488">
        <f t="shared" si="17"/>
        <v>232.22925000000001</v>
      </c>
      <c r="L41" s="490">
        <f t="shared" si="47"/>
        <v>0.36168588873812757</v>
      </c>
      <c r="M41" s="455">
        <v>44166</v>
      </c>
      <c r="N41" s="455">
        <v>45261</v>
      </c>
      <c r="O41" s="455">
        <v>46356</v>
      </c>
      <c r="P41" s="574">
        <f t="shared" si="48"/>
        <v>3</v>
      </c>
      <c r="Q41" s="492">
        <f t="shared" si="20"/>
        <v>36</v>
      </c>
      <c r="R41" s="493">
        <f t="shared" si="45"/>
        <v>30</v>
      </c>
      <c r="S41" s="494">
        <f t="shared" si="34"/>
        <v>2.3315068493150686</v>
      </c>
      <c r="T41" s="455">
        <v>45626</v>
      </c>
      <c r="U41" s="574">
        <f t="shared" si="49"/>
        <v>1</v>
      </c>
      <c r="V41" s="492">
        <f t="shared" si="35"/>
        <v>12</v>
      </c>
      <c r="W41" s="492">
        <f t="shared" si="1"/>
        <v>6</v>
      </c>
      <c r="X41" s="495">
        <v>3</v>
      </c>
      <c r="Y41" s="496">
        <f t="shared" si="24"/>
        <v>46264</v>
      </c>
      <c r="Z41" s="497">
        <v>6</v>
      </c>
      <c r="AA41" s="583">
        <f t="shared" si="36"/>
        <v>2</v>
      </c>
      <c r="AB41" s="499">
        <v>0</v>
      </c>
      <c r="AC41" s="500"/>
      <c r="AD41" s="501">
        <f t="shared" si="37"/>
        <v>0</v>
      </c>
      <c r="AE41" s="502">
        <v>0</v>
      </c>
      <c r="AF41" s="501">
        <f t="shared" si="25"/>
        <v>254065.81013341114</v>
      </c>
      <c r="AG41" s="501">
        <f t="shared" si="4"/>
        <v>229966.48255742641</v>
      </c>
      <c r="AH41" s="501">
        <f t="shared" si="38"/>
        <v>1199618.4611460157</v>
      </c>
      <c r="AI41" s="501">
        <f t="shared" si="39"/>
        <v>52298.320273867917</v>
      </c>
      <c r="AJ41" s="501">
        <f t="shared" si="7"/>
        <v>36594.651909342247</v>
      </c>
      <c r="AK41" s="501">
        <f t="shared" si="46"/>
        <v>770244303.66925132</v>
      </c>
      <c r="AL41" s="501">
        <f t="shared" si="27"/>
        <v>0</v>
      </c>
      <c r="AM41" s="502">
        <v>770244303.66925132</v>
      </c>
      <c r="AN41" s="502"/>
      <c r="AO41" s="502"/>
      <c r="AP41" s="502"/>
      <c r="AQ41" s="502"/>
      <c r="AR41" s="501">
        <f t="shared" si="40"/>
        <v>1208858853.9906566</v>
      </c>
      <c r="AS41" s="501">
        <f t="shared" si="41"/>
        <v>1007382378.3255473</v>
      </c>
      <c r="AT41" s="502">
        <v>33579412.610851578</v>
      </c>
      <c r="AU41" s="503">
        <f t="shared" si="28"/>
        <v>27982843.842376314</v>
      </c>
      <c r="AV41" s="501">
        <f t="shared" si="42"/>
        <v>845873610.04439187</v>
      </c>
      <c r="AW41" s="504">
        <f t="shared" si="43"/>
        <v>845873610.04439187</v>
      </c>
      <c r="AX41" s="502">
        <v>23496489.167899776</v>
      </c>
      <c r="AY41" s="501">
        <f t="shared" si="12"/>
        <v>88892.972183210179</v>
      </c>
      <c r="AZ41" s="501">
        <f t="shared" si="13"/>
        <v>57075901.778751358</v>
      </c>
      <c r="BA41" s="505">
        <f t="shared" si="44"/>
        <v>13</v>
      </c>
      <c r="BB41" s="506">
        <v>13.781868013573872</v>
      </c>
      <c r="BC41" s="507" t="s">
        <v>1823</v>
      </c>
      <c r="BD41" s="455" t="s">
        <v>1789</v>
      </c>
      <c r="BE41" s="508">
        <v>45636</v>
      </c>
      <c r="BF41" s="509">
        <f t="shared" si="15"/>
        <v>45636</v>
      </c>
      <c r="BG41" s="486" t="s">
        <v>1790</v>
      </c>
      <c r="BH41" s="510" t="s">
        <v>1824</v>
      </c>
      <c r="BI41" s="511">
        <v>0.19</v>
      </c>
      <c r="BJ41" s="512" t="s">
        <v>1825</v>
      </c>
      <c r="BK41" s="513">
        <v>10</v>
      </c>
      <c r="BL41" s="514"/>
      <c r="BM41" s="514"/>
      <c r="BN41" s="515" t="s">
        <v>1794</v>
      </c>
      <c r="BO41" s="516"/>
      <c r="BP41" s="516"/>
    </row>
    <row r="42" spans="3:68" ht="40.15" customHeight="1" outlineLevel="1">
      <c r="C42" s="2608"/>
      <c r="D42" s="2610">
        <v>25</v>
      </c>
      <c r="E42" s="485">
        <v>1</v>
      </c>
      <c r="F42" s="485" t="s">
        <v>1786</v>
      </c>
      <c r="G42" s="486" t="s">
        <v>1787</v>
      </c>
      <c r="H42" s="487">
        <v>245.63</v>
      </c>
      <c r="I42" s="488">
        <f t="shared" si="16"/>
        <v>74.303074999999993</v>
      </c>
      <c r="J42" s="489">
        <v>92.1</v>
      </c>
      <c r="K42" s="488">
        <f t="shared" si="17"/>
        <v>27.860249999999997</v>
      </c>
      <c r="L42" s="490">
        <f t="shared" si="47"/>
        <v>0.37495419940561003</v>
      </c>
      <c r="M42" s="455">
        <v>43374</v>
      </c>
      <c r="N42" s="455">
        <v>43831</v>
      </c>
      <c r="O42" s="455">
        <v>45657</v>
      </c>
      <c r="P42" s="574">
        <f t="shared" si="48"/>
        <v>5</v>
      </c>
      <c r="Q42" s="492">
        <f t="shared" si="20"/>
        <v>60</v>
      </c>
      <c r="R42" s="493">
        <f t="shared" si="45"/>
        <v>7</v>
      </c>
      <c r="S42" s="494">
        <f t="shared" si="34"/>
        <v>0.41643835616438357</v>
      </c>
      <c r="T42" s="455">
        <v>45657</v>
      </c>
      <c r="U42" s="574">
        <f t="shared" si="49"/>
        <v>5</v>
      </c>
      <c r="V42" s="492">
        <f t="shared" si="35"/>
        <v>60</v>
      </c>
      <c r="W42" s="492">
        <f t="shared" si="1"/>
        <v>7</v>
      </c>
      <c r="X42" s="495">
        <v>6</v>
      </c>
      <c r="Y42" s="496">
        <f t="shared" si="24"/>
        <v>45473</v>
      </c>
      <c r="Z42" s="497">
        <v>14</v>
      </c>
      <c r="AA42" s="498">
        <f t="shared" si="36"/>
        <v>2.8</v>
      </c>
      <c r="AB42" s="499">
        <v>0</v>
      </c>
      <c r="AC42" s="500"/>
      <c r="AD42" s="501">
        <f t="shared" si="37"/>
        <v>0</v>
      </c>
      <c r="AE42" s="502"/>
      <c r="AF42" s="501">
        <f t="shared" si="25"/>
        <v>235772.05985601991</v>
      </c>
      <c r="AG42" s="501">
        <f t="shared" si="4"/>
        <v>201430.44353005104</v>
      </c>
      <c r="AH42" s="501">
        <f t="shared" si="38"/>
        <v>318375.794770982</v>
      </c>
      <c r="AI42" s="501">
        <f t="shared" si="39"/>
        <v>55185.142524849791</v>
      </c>
      <c r="AJ42" s="501">
        <f t="shared" si="7"/>
        <v>32422.641933748273</v>
      </c>
      <c r="AK42" s="501">
        <f t="shared" si="46"/>
        <v>23656300.557052881</v>
      </c>
      <c r="AL42" s="501">
        <f t="shared" si="27"/>
        <v>0</v>
      </c>
      <c r="AM42" s="502">
        <v>23656300.557052881</v>
      </c>
      <c r="AN42" s="502"/>
      <c r="AO42" s="502"/>
      <c r="AP42" s="502"/>
      <c r="AQ42" s="502"/>
      <c r="AR42" s="501">
        <f t="shared" si="40"/>
        <v>246025547.03457618</v>
      </c>
      <c r="AS42" s="501">
        <f t="shared" si="41"/>
        <v>188619586.05984175</v>
      </c>
      <c r="AT42" s="502">
        <v>4100425.783909603</v>
      </c>
      <c r="AU42" s="503">
        <f t="shared" si="28"/>
        <v>3143659.7676640293</v>
      </c>
      <c r="AV42" s="501">
        <f t="shared" si="42"/>
        <v>144546119.71808657</v>
      </c>
      <c r="AW42" s="504">
        <f t="shared" si="43"/>
        <v>144546119.71808657</v>
      </c>
      <c r="AX42" s="502">
        <v>2409101.9953014427</v>
      </c>
      <c r="AY42" s="501">
        <f t="shared" si="12"/>
        <v>87607.784458598064</v>
      </c>
      <c r="AZ42" s="501">
        <f t="shared" si="13"/>
        <v>6509527.7792110462</v>
      </c>
      <c r="BA42" s="505">
        <f t="shared" si="44"/>
        <v>1</v>
      </c>
      <c r="BB42" s="506">
        <v>1.5222878803165039</v>
      </c>
      <c r="BC42" s="507" t="s">
        <v>1788</v>
      </c>
      <c r="BD42" s="455" t="s">
        <v>1789</v>
      </c>
      <c r="BE42" s="508"/>
      <c r="BF42" s="509">
        <f t="shared" si="15"/>
        <v>0</v>
      </c>
      <c r="BG42" s="486" t="s">
        <v>1790</v>
      </c>
      <c r="BH42" s="510" t="s">
        <v>1791</v>
      </c>
      <c r="BI42" s="511">
        <v>0.19</v>
      </c>
      <c r="BJ42" s="512" t="s">
        <v>1792</v>
      </c>
      <c r="BK42" s="513">
        <v>15</v>
      </c>
      <c r="BL42" s="2003" t="s">
        <v>1793</v>
      </c>
      <c r="BM42" s="514"/>
      <c r="BN42" s="515" t="s">
        <v>1794</v>
      </c>
      <c r="BO42" s="516"/>
      <c r="BP42" s="516"/>
    </row>
    <row r="43" spans="3:68" ht="40.15" customHeight="1" outlineLevel="1">
      <c r="C43" s="2608"/>
      <c r="D43" s="2611"/>
      <c r="E43" s="485">
        <v>2</v>
      </c>
      <c r="F43" s="485" t="s">
        <v>1786</v>
      </c>
      <c r="G43" s="486" t="s">
        <v>1787</v>
      </c>
      <c r="H43" s="487">
        <v>260.41000000000003</v>
      </c>
      <c r="I43" s="488">
        <f t="shared" si="16"/>
        <v>78.774025000000009</v>
      </c>
      <c r="J43" s="489">
        <v>97.64</v>
      </c>
      <c r="K43" s="488">
        <f t="shared" si="17"/>
        <v>29.536099999999998</v>
      </c>
      <c r="L43" s="490">
        <f t="shared" si="47"/>
        <v>0.37494719864828535</v>
      </c>
      <c r="M43" s="455">
        <v>43374</v>
      </c>
      <c r="N43" s="455">
        <v>43831</v>
      </c>
      <c r="O43" s="455">
        <v>45657</v>
      </c>
      <c r="P43" s="574">
        <f t="shared" si="48"/>
        <v>5</v>
      </c>
      <c r="Q43" s="492">
        <f t="shared" si="20"/>
        <v>60</v>
      </c>
      <c r="R43" s="493">
        <f t="shared" si="45"/>
        <v>7</v>
      </c>
      <c r="S43" s="494">
        <f t="shared" si="34"/>
        <v>0.41643835616438357</v>
      </c>
      <c r="T43" s="455">
        <v>45657</v>
      </c>
      <c r="U43" s="574">
        <f t="shared" si="49"/>
        <v>5</v>
      </c>
      <c r="V43" s="492">
        <f t="shared" si="35"/>
        <v>60</v>
      </c>
      <c r="W43" s="492">
        <f t="shared" si="1"/>
        <v>7</v>
      </c>
      <c r="X43" s="495">
        <v>6</v>
      </c>
      <c r="Y43" s="496">
        <f t="shared" si="24"/>
        <v>45473</v>
      </c>
      <c r="Z43" s="497">
        <v>14</v>
      </c>
      <c r="AA43" s="498">
        <f t="shared" si="36"/>
        <v>2.8</v>
      </c>
      <c r="AB43" s="499">
        <v>0</v>
      </c>
      <c r="AC43" s="500"/>
      <c r="AD43" s="501">
        <f t="shared" si="37"/>
        <v>0</v>
      </c>
      <c r="AE43" s="502"/>
      <c r="AF43" s="501">
        <f t="shared" si="25"/>
        <v>235776.4620304619</v>
      </c>
      <c r="AG43" s="501">
        <f t="shared" si="4"/>
        <v>201434.20450135058</v>
      </c>
      <c r="AH43" s="501">
        <f t="shared" si="38"/>
        <v>318375.79477098194</v>
      </c>
      <c r="AI43" s="501">
        <f t="shared" si="39"/>
        <v>55185.142524849784</v>
      </c>
      <c r="AJ43" s="501">
        <f t="shared" si="7"/>
        <v>32422.641933748269</v>
      </c>
      <c r="AK43" s="501">
        <f t="shared" si="46"/>
        <v>25079742.816684205</v>
      </c>
      <c r="AL43" s="501">
        <f t="shared" si="27"/>
        <v>0</v>
      </c>
      <c r="AM43" s="502">
        <v>25079742.816684205</v>
      </c>
      <c r="AN43" s="502"/>
      <c r="AO43" s="502"/>
      <c r="AP43" s="502"/>
      <c r="AQ43" s="502"/>
      <c r="AR43" s="501">
        <f t="shared" si="40"/>
        <v>260829347.81286484</v>
      </c>
      <c r="AS43" s="501">
        <f t="shared" si="41"/>
        <v>199969166.65652969</v>
      </c>
      <c r="AT43" s="502">
        <v>4347155.7968810806</v>
      </c>
      <c r="AU43" s="503">
        <f t="shared" si="28"/>
        <v>3332819.4442754951</v>
      </c>
      <c r="AV43" s="501">
        <f t="shared" si="42"/>
        <v>153243720.3753081</v>
      </c>
      <c r="AW43" s="504">
        <f t="shared" si="43"/>
        <v>153243720.3753081</v>
      </c>
      <c r="AX43" s="502">
        <v>2554062.0062551349</v>
      </c>
      <c r="AY43" s="501">
        <f t="shared" si="12"/>
        <v>87607.784458598064</v>
      </c>
      <c r="AZ43" s="501">
        <f t="shared" si="13"/>
        <v>6901217.8031362155</v>
      </c>
      <c r="BA43" s="505">
        <f t="shared" si="44"/>
        <v>2</v>
      </c>
      <c r="BB43" s="506">
        <v>1.6138866869406052</v>
      </c>
      <c r="BC43" s="507" t="s">
        <v>1788</v>
      </c>
      <c r="BD43" s="455" t="s">
        <v>1789</v>
      </c>
      <c r="BE43" s="508"/>
      <c r="BF43" s="509">
        <f t="shared" si="15"/>
        <v>0</v>
      </c>
      <c r="BG43" s="486" t="s">
        <v>1790</v>
      </c>
      <c r="BH43" s="510" t="s">
        <v>1791</v>
      </c>
      <c r="BI43" s="511">
        <v>0.19</v>
      </c>
      <c r="BJ43" s="512" t="s">
        <v>1792</v>
      </c>
      <c r="BK43" s="513">
        <v>15</v>
      </c>
      <c r="BL43" s="2003" t="s">
        <v>1793</v>
      </c>
      <c r="BM43" s="514"/>
      <c r="BN43" s="515" t="s">
        <v>1794</v>
      </c>
      <c r="BO43" s="516"/>
      <c r="BP43" s="516"/>
    </row>
    <row r="44" spans="3:68" ht="40.15" customHeight="1" outlineLevel="1">
      <c r="C44" s="2608"/>
      <c r="D44" s="2611"/>
      <c r="E44" s="485">
        <v>3</v>
      </c>
      <c r="F44" s="485" t="s">
        <v>1786</v>
      </c>
      <c r="G44" s="486" t="s">
        <v>1822</v>
      </c>
      <c r="H44" s="487">
        <v>625.72</v>
      </c>
      <c r="I44" s="488">
        <f t="shared" si="16"/>
        <v>189.28030000000001</v>
      </c>
      <c r="J44" s="489">
        <v>234.61</v>
      </c>
      <c r="K44" s="488">
        <f t="shared" si="17"/>
        <v>70.969525000000004</v>
      </c>
      <c r="L44" s="490">
        <f t="shared" si="47"/>
        <v>0.37494406443776768</v>
      </c>
      <c r="M44" s="455">
        <v>44166</v>
      </c>
      <c r="N44" s="455">
        <v>45261</v>
      </c>
      <c r="O44" s="455">
        <v>46356</v>
      </c>
      <c r="P44" s="574">
        <f t="shared" si="48"/>
        <v>3</v>
      </c>
      <c r="Q44" s="492">
        <f t="shared" si="20"/>
        <v>36</v>
      </c>
      <c r="R44" s="493">
        <f t="shared" si="45"/>
        <v>30</v>
      </c>
      <c r="S44" s="494">
        <f t="shared" si="34"/>
        <v>2.3315068493150681</v>
      </c>
      <c r="T44" s="455">
        <v>45626</v>
      </c>
      <c r="U44" s="574">
        <f t="shared" si="49"/>
        <v>1</v>
      </c>
      <c r="V44" s="492">
        <f t="shared" si="35"/>
        <v>12</v>
      </c>
      <c r="W44" s="492">
        <f t="shared" si="1"/>
        <v>6</v>
      </c>
      <c r="X44" s="495">
        <v>3</v>
      </c>
      <c r="Y44" s="496">
        <f t="shared" si="24"/>
        <v>46264</v>
      </c>
      <c r="Z44" s="497">
        <v>6</v>
      </c>
      <c r="AA44" s="583">
        <f t="shared" si="36"/>
        <v>2</v>
      </c>
      <c r="AB44" s="499">
        <v>0</v>
      </c>
      <c r="AC44" s="500"/>
      <c r="AD44" s="501">
        <f t="shared" si="37"/>
        <v>0</v>
      </c>
      <c r="AE44" s="502">
        <v>0</v>
      </c>
      <c r="AF44" s="501">
        <f t="shared" si="25"/>
        <v>245081.93901900586</v>
      </c>
      <c r="AG44" s="501">
        <f t="shared" si="4"/>
        <v>221834.77353745166</v>
      </c>
      <c r="AH44" s="501">
        <f t="shared" si="38"/>
        <v>1199618.4611460157</v>
      </c>
      <c r="AI44" s="501">
        <f t="shared" si="39"/>
        <v>52298.320273867917</v>
      </c>
      <c r="AJ44" s="501">
        <f t="shared" si="7"/>
        <v>36594.651909342239</v>
      </c>
      <c r="AK44" s="501">
        <f t="shared" si="46"/>
        <v>227064142.21125621</v>
      </c>
      <c r="AL44" s="501">
        <f t="shared" si="27"/>
        <v>0</v>
      </c>
      <c r="AM44" s="502">
        <v>227064142.21125621</v>
      </c>
      <c r="AN44" s="502"/>
      <c r="AO44" s="502"/>
      <c r="AP44" s="502"/>
      <c r="AQ44" s="502"/>
      <c r="AR44" s="501">
        <f t="shared" si="40"/>
        <v>356365503.03361684</v>
      </c>
      <c r="AS44" s="501">
        <f t="shared" si="41"/>
        <v>296971252.52801406</v>
      </c>
      <c r="AT44" s="502">
        <v>9899041.7509338018</v>
      </c>
      <c r="AU44" s="503">
        <f t="shared" si="28"/>
        <v>8249201.4591115015</v>
      </c>
      <c r="AV44" s="501">
        <f t="shared" si="42"/>
        <v>249359280.90465137</v>
      </c>
      <c r="AW44" s="504">
        <f t="shared" si="43"/>
        <v>249359280.90465137</v>
      </c>
      <c r="AX44" s="502">
        <v>6926646.6917958725</v>
      </c>
      <c r="AY44" s="501">
        <f t="shared" si="12"/>
        <v>88892.97218321015</v>
      </c>
      <c r="AZ44" s="501">
        <f t="shared" si="13"/>
        <v>16825688.442729674</v>
      </c>
      <c r="BA44" s="505">
        <f t="shared" si="44"/>
        <v>4</v>
      </c>
      <c r="BB44" s="506">
        <v>4.0628252927848649</v>
      </c>
      <c r="BC44" s="507" t="s">
        <v>1823</v>
      </c>
      <c r="BD44" s="455" t="s">
        <v>1789</v>
      </c>
      <c r="BE44" s="508"/>
      <c r="BF44" s="509">
        <f t="shared" si="15"/>
        <v>0</v>
      </c>
      <c r="BG44" s="486" t="s">
        <v>1790</v>
      </c>
      <c r="BH44" s="510" t="s">
        <v>1824</v>
      </c>
      <c r="BI44" s="511">
        <v>0.19</v>
      </c>
      <c r="BJ44" s="512" t="s">
        <v>1825</v>
      </c>
      <c r="BK44" s="513">
        <v>10</v>
      </c>
      <c r="BL44" s="514"/>
      <c r="BM44" s="514"/>
      <c r="BN44" s="515" t="s">
        <v>1794</v>
      </c>
      <c r="BO44" s="516"/>
      <c r="BP44" s="516"/>
    </row>
    <row r="45" spans="3:68" ht="40.15" customHeight="1" outlineLevel="1">
      <c r="C45" s="2608"/>
      <c r="D45" s="2611"/>
      <c r="E45" s="485">
        <v>4</v>
      </c>
      <c r="F45" s="485" t="s">
        <v>1786</v>
      </c>
      <c r="G45" s="486" t="s">
        <v>1822</v>
      </c>
      <c r="H45" s="487">
        <v>507.05</v>
      </c>
      <c r="I45" s="488">
        <f t="shared" si="16"/>
        <v>153.38262499999999</v>
      </c>
      <c r="J45" s="489">
        <v>190.12</v>
      </c>
      <c r="K45" s="488">
        <f t="shared" si="17"/>
        <v>57.511299999999999</v>
      </c>
      <c r="L45" s="490">
        <f t="shared" si="47"/>
        <v>0.37495316043782667</v>
      </c>
      <c r="M45" s="455">
        <v>44166</v>
      </c>
      <c r="N45" s="455">
        <v>45261</v>
      </c>
      <c r="O45" s="455">
        <v>46356</v>
      </c>
      <c r="P45" s="574">
        <f t="shared" si="48"/>
        <v>3</v>
      </c>
      <c r="Q45" s="492">
        <f t="shared" si="20"/>
        <v>36</v>
      </c>
      <c r="R45" s="493">
        <f t="shared" si="45"/>
        <v>30</v>
      </c>
      <c r="S45" s="494">
        <f t="shared" si="34"/>
        <v>2.3315068493150686</v>
      </c>
      <c r="T45" s="455">
        <v>45626</v>
      </c>
      <c r="U45" s="574">
        <f t="shared" si="49"/>
        <v>1</v>
      </c>
      <c r="V45" s="492">
        <f t="shared" si="35"/>
        <v>12</v>
      </c>
      <c r="W45" s="492">
        <f t="shared" si="1"/>
        <v>6</v>
      </c>
      <c r="X45" s="495">
        <v>3</v>
      </c>
      <c r="Y45" s="496">
        <f t="shared" si="24"/>
        <v>46264</v>
      </c>
      <c r="Z45" s="497">
        <v>6</v>
      </c>
      <c r="AA45" s="583">
        <f t="shared" si="36"/>
        <v>2</v>
      </c>
      <c r="AB45" s="499">
        <v>0</v>
      </c>
      <c r="AC45" s="500"/>
      <c r="AD45" s="501">
        <f t="shared" si="37"/>
        <v>0</v>
      </c>
      <c r="AE45" s="502">
        <v>0</v>
      </c>
      <c r="AF45" s="501">
        <f t="shared" si="25"/>
        <v>245075.99356883514</v>
      </c>
      <c r="AG45" s="501">
        <f t="shared" si="4"/>
        <v>221829.3920409714</v>
      </c>
      <c r="AH45" s="501">
        <f t="shared" si="38"/>
        <v>1199618.4611460157</v>
      </c>
      <c r="AI45" s="501">
        <f t="shared" si="39"/>
        <v>52298.320273867925</v>
      </c>
      <c r="AJ45" s="501">
        <f t="shared" si="7"/>
        <v>36594.651909342247</v>
      </c>
      <c r="AK45" s="501">
        <f t="shared" si="46"/>
        <v>184000628.56903639</v>
      </c>
      <c r="AL45" s="501">
        <f t="shared" si="27"/>
        <v>0</v>
      </c>
      <c r="AM45" s="502">
        <v>184000628.56903639</v>
      </c>
      <c r="AN45" s="502"/>
      <c r="AO45" s="502"/>
      <c r="AP45" s="502"/>
      <c r="AQ45" s="502"/>
      <c r="AR45" s="501">
        <f t="shared" si="40"/>
        <v>288779531.28107691</v>
      </c>
      <c r="AS45" s="501">
        <f t="shared" si="41"/>
        <v>240649609.40089741</v>
      </c>
      <c r="AT45" s="502">
        <v>8021653.6466965806</v>
      </c>
      <c r="AU45" s="503">
        <f t="shared" si="28"/>
        <v>6684711.3722471502</v>
      </c>
      <c r="AV45" s="501">
        <f t="shared" si="42"/>
        <v>202067415.74938232</v>
      </c>
      <c r="AW45" s="504">
        <f t="shared" si="43"/>
        <v>202067415.74938232</v>
      </c>
      <c r="AX45" s="502">
        <v>5612983.7708161753</v>
      </c>
      <c r="AY45" s="501">
        <f t="shared" si="12"/>
        <v>88892.972183210164</v>
      </c>
      <c r="AZ45" s="501">
        <f t="shared" si="13"/>
        <v>13634637.417512756</v>
      </c>
      <c r="BA45" s="505">
        <f t="shared" si="44"/>
        <v>3</v>
      </c>
      <c r="BB45" s="506">
        <v>3.2922961783330655</v>
      </c>
      <c r="BC45" s="507" t="s">
        <v>1823</v>
      </c>
      <c r="BD45" s="455" t="s">
        <v>1789</v>
      </c>
      <c r="BE45" s="508"/>
      <c r="BF45" s="509">
        <f t="shared" si="15"/>
        <v>0</v>
      </c>
      <c r="BG45" s="486" t="s">
        <v>1790</v>
      </c>
      <c r="BH45" s="510" t="s">
        <v>1824</v>
      </c>
      <c r="BI45" s="511">
        <v>0.19</v>
      </c>
      <c r="BJ45" s="512" t="s">
        <v>1825</v>
      </c>
      <c r="BK45" s="513">
        <v>10</v>
      </c>
      <c r="BL45" s="514"/>
      <c r="BM45" s="514"/>
      <c r="BN45" s="515" t="s">
        <v>1794</v>
      </c>
      <c r="BO45" s="516"/>
      <c r="BP45" s="516"/>
    </row>
    <row r="46" spans="3:68" ht="40.15" customHeight="1" outlineLevel="1">
      <c r="C46" s="2608"/>
      <c r="D46" s="2611"/>
      <c r="E46" s="485">
        <v>5</v>
      </c>
      <c r="F46" s="485" t="s">
        <v>1786</v>
      </c>
      <c r="G46" s="486" t="s">
        <v>1826</v>
      </c>
      <c r="H46" s="487">
        <v>322.05</v>
      </c>
      <c r="I46" s="488">
        <f t="shared" si="16"/>
        <v>97.420124999999999</v>
      </c>
      <c r="J46" s="489">
        <v>120.73585287</v>
      </c>
      <c r="K46" s="488">
        <f t="shared" si="17"/>
        <v>36.522595493174997</v>
      </c>
      <c r="L46" s="490">
        <f t="shared" si="47"/>
        <v>0.37489785086166744</v>
      </c>
      <c r="M46" s="455">
        <v>43983</v>
      </c>
      <c r="N46" s="455">
        <v>43983</v>
      </c>
      <c r="O46" s="455">
        <v>45808</v>
      </c>
      <c r="P46" s="574">
        <f t="shared" si="48"/>
        <v>5</v>
      </c>
      <c r="Q46" s="492">
        <f t="shared" si="20"/>
        <v>60</v>
      </c>
      <c r="R46" s="493">
        <f t="shared" si="45"/>
        <v>12</v>
      </c>
      <c r="S46" s="494">
        <f t="shared" si="34"/>
        <v>0.83013698630136989</v>
      </c>
      <c r="T46" s="455">
        <v>44712</v>
      </c>
      <c r="U46" s="574">
        <f t="shared" si="49"/>
        <v>2</v>
      </c>
      <c r="V46" s="492">
        <f t="shared" si="35"/>
        <v>24</v>
      </c>
      <c r="W46" s="492" t="str">
        <f t="shared" si="1"/>
        <v>만료</v>
      </c>
      <c r="X46" s="495">
        <v>3</v>
      </c>
      <c r="Y46" s="496">
        <f t="shared" si="24"/>
        <v>45716</v>
      </c>
      <c r="Z46" s="497">
        <v>20</v>
      </c>
      <c r="AA46" s="583">
        <f t="shared" si="36"/>
        <v>4</v>
      </c>
      <c r="AB46" s="499">
        <v>0</v>
      </c>
      <c r="AC46" s="584">
        <v>0</v>
      </c>
      <c r="AD46" s="501">
        <f t="shared" si="37"/>
        <v>0</v>
      </c>
      <c r="AE46" s="502">
        <v>0</v>
      </c>
      <c r="AF46" s="501">
        <f t="shared" si="25"/>
        <v>244860.79450928333</v>
      </c>
      <c r="AG46" s="501">
        <f t="shared" si="4"/>
        <v>194482.84878860851</v>
      </c>
      <c r="AH46" s="501">
        <f t="shared" si="38"/>
        <v>549996.21484780486</v>
      </c>
      <c r="AI46" s="501">
        <f t="shared" si="39"/>
        <v>56659.750744520192</v>
      </c>
      <c r="AJ46" s="501">
        <f t="shared" si="7"/>
        <v>33763.044340170985</v>
      </c>
      <c r="AK46" s="501">
        <f t="shared" si="46"/>
        <v>53580700</v>
      </c>
      <c r="AL46" s="501">
        <f t="shared" si="27"/>
        <v>0</v>
      </c>
      <c r="AM46" s="502">
        <v>53580700</v>
      </c>
      <c r="AN46" s="502"/>
      <c r="AO46" s="502"/>
      <c r="AP46" s="502"/>
      <c r="AQ46" s="502"/>
      <c r="AR46" s="501">
        <f t="shared" si="40"/>
        <v>331188000</v>
      </c>
      <c r="AS46" s="501">
        <f t="shared" si="41"/>
        <v>220792000</v>
      </c>
      <c r="AT46" s="502">
        <v>5519800</v>
      </c>
      <c r="AU46" s="503">
        <f t="shared" si="28"/>
        <v>3679866.6666666665</v>
      </c>
      <c r="AV46" s="501">
        <f t="shared" si="42"/>
        <v>197351999.99999997</v>
      </c>
      <c r="AW46" s="504">
        <f t="shared" si="43"/>
        <v>197351999.99999997</v>
      </c>
      <c r="AX46" s="502">
        <v>3289200</v>
      </c>
      <c r="AY46" s="501">
        <f t="shared" si="12"/>
        <v>90422.795084691184</v>
      </c>
      <c r="AZ46" s="501">
        <f t="shared" si="13"/>
        <v>8809000</v>
      </c>
      <c r="BA46" s="505">
        <f t="shared" si="44"/>
        <v>2</v>
      </c>
      <c r="BB46" s="506">
        <v>2</v>
      </c>
      <c r="BC46" s="507" t="s">
        <v>1827</v>
      </c>
      <c r="BD46" s="455" t="s">
        <v>1789</v>
      </c>
      <c r="BE46" s="508"/>
      <c r="BF46" s="509">
        <f t="shared" si="15"/>
        <v>0</v>
      </c>
      <c r="BG46" s="486" t="s">
        <v>1790</v>
      </c>
      <c r="BH46" s="510" t="s">
        <v>1791</v>
      </c>
      <c r="BI46" s="511">
        <v>0.19</v>
      </c>
      <c r="BJ46" s="512" t="s">
        <v>1828</v>
      </c>
      <c r="BK46" s="513">
        <v>10</v>
      </c>
      <c r="BL46" s="514"/>
      <c r="BM46" s="514"/>
      <c r="BN46" s="515" t="s">
        <v>1794</v>
      </c>
      <c r="BO46" s="516"/>
      <c r="BP46" s="516"/>
    </row>
    <row r="47" spans="3:68" ht="40.15" customHeight="1" outlineLevel="1">
      <c r="C47" s="2608"/>
      <c r="D47" s="2612"/>
      <c r="E47" s="485">
        <v>6</v>
      </c>
      <c r="F47" s="485" t="s">
        <v>1786</v>
      </c>
      <c r="G47" s="486" t="s">
        <v>1829</v>
      </c>
      <c r="H47" s="487">
        <v>636.23</v>
      </c>
      <c r="I47" s="488">
        <f t="shared" si="16"/>
        <v>192.459575</v>
      </c>
      <c r="J47" s="489">
        <v>238.56414713000001</v>
      </c>
      <c r="K47" s="488">
        <f t="shared" si="17"/>
        <v>72.165654506825007</v>
      </c>
      <c r="L47" s="490">
        <f t="shared" si="47"/>
        <v>0.3749652596230923</v>
      </c>
      <c r="M47" s="455">
        <v>44201</v>
      </c>
      <c r="N47" s="455">
        <v>44109</v>
      </c>
      <c r="O47" s="455">
        <v>46026</v>
      </c>
      <c r="P47" s="574">
        <f t="shared" si="48"/>
        <v>5.25</v>
      </c>
      <c r="Q47" s="492">
        <f t="shared" si="20"/>
        <v>63</v>
      </c>
      <c r="R47" s="493">
        <f t="shared" si="45"/>
        <v>19</v>
      </c>
      <c r="S47" s="494">
        <f t="shared" si="34"/>
        <v>1.4273972602739726</v>
      </c>
      <c r="T47" s="455">
        <v>45295</v>
      </c>
      <c r="U47" s="574">
        <f t="shared" si="49"/>
        <v>3.25</v>
      </c>
      <c r="V47" s="492">
        <f t="shared" si="35"/>
        <v>39</v>
      </c>
      <c r="W47" s="492" t="str">
        <f t="shared" si="1"/>
        <v>만료</v>
      </c>
      <c r="X47" s="495">
        <v>3</v>
      </c>
      <c r="Y47" s="496">
        <f t="shared" si="24"/>
        <v>45934</v>
      </c>
      <c r="Z47" s="497">
        <v>0</v>
      </c>
      <c r="AA47" s="583">
        <f t="shared" si="36"/>
        <v>0</v>
      </c>
      <c r="AB47" s="499">
        <v>3</v>
      </c>
      <c r="AC47" s="500"/>
      <c r="AD47" s="501">
        <f t="shared" si="37"/>
        <v>0</v>
      </c>
      <c r="AE47" s="502">
        <v>0</v>
      </c>
      <c r="AF47" s="501">
        <f t="shared" si="25"/>
        <v>191764.66415462503</v>
      </c>
      <c r="AG47" s="501">
        <f t="shared" si="4"/>
        <v>186969.29501752087</v>
      </c>
      <c r="AH47" s="501">
        <f t="shared" si="38"/>
        <v>550001.21454076783</v>
      </c>
      <c r="AI47" s="501">
        <f t="shared" si="39"/>
        <v>37760.033503139552</v>
      </c>
      <c r="AJ47" s="501">
        <f t="shared" si="7"/>
        <v>32770.050541782606</v>
      </c>
      <c r="AK47" s="501">
        <f t="shared" si="46"/>
        <v>105853000</v>
      </c>
      <c r="AL47" s="501">
        <f t="shared" si="27"/>
        <v>0</v>
      </c>
      <c r="AM47" s="502">
        <v>105853000</v>
      </c>
      <c r="AN47" s="502"/>
      <c r="AO47" s="502"/>
      <c r="AP47" s="502"/>
      <c r="AQ47" s="502"/>
      <c r="AR47" s="501">
        <f t="shared" si="40"/>
        <v>457838639.99999994</v>
      </c>
      <c r="AS47" s="501">
        <f t="shared" si="41"/>
        <v>436036800</v>
      </c>
      <c r="AT47" s="502">
        <v>7267280</v>
      </c>
      <c r="AU47" s="503">
        <f t="shared" si="28"/>
        <v>6921219.0476190476</v>
      </c>
      <c r="AV47" s="501">
        <f t="shared" si="42"/>
        <v>397335330</v>
      </c>
      <c r="AW47" s="504">
        <f t="shared" si="43"/>
        <v>397335330</v>
      </c>
      <c r="AX47" s="502">
        <v>6306910</v>
      </c>
      <c r="AY47" s="501">
        <f t="shared" si="12"/>
        <v>70530.084044922158</v>
      </c>
      <c r="AZ47" s="501">
        <f t="shared" si="13"/>
        <v>13574190</v>
      </c>
      <c r="BA47" s="505">
        <f t="shared" si="44"/>
        <v>4</v>
      </c>
      <c r="BB47" s="506">
        <v>4</v>
      </c>
      <c r="BC47" s="507" t="s">
        <v>1830</v>
      </c>
      <c r="BD47" s="455" t="s">
        <v>1789</v>
      </c>
      <c r="BE47" s="508">
        <v>45662</v>
      </c>
      <c r="BF47" s="509">
        <f t="shared" si="15"/>
        <v>45662</v>
      </c>
      <c r="BG47" s="486" t="s">
        <v>1790</v>
      </c>
      <c r="BH47" s="510" t="s">
        <v>1791</v>
      </c>
      <c r="BI47" s="511">
        <v>0.19</v>
      </c>
      <c r="BJ47" s="519"/>
      <c r="BK47" s="513">
        <v>10</v>
      </c>
      <c r="BL47" s="514" t="s">
        <v>1831</v>
      </c>
      <c r="BM47" s="514"/>
      <c r="BN47" s="515" t="s">
        <v>1794</v>
      </c>
      <c r="BO47" s="516"/>
      <c r="BP47" s="516"/>
    </row>
    <row r="48" spans="3:68" ht="40.15" customHeight="1" outlineLevel="1">
      <c r="C48" s="2608"/>
      <c r="D48" s="2610">
        <v>24</v>
      </c>
      <c r="E48" s="485">
        <v>1</v>
      </c>
      <c r="F48" s="485" t="s">
        <v>1786</v>
      </c>
      <c r="G48" s="486" t="s">
        <v>1832</v>
      </c>
      <c r="H48" s="487">
        <v>1927.58</v>
      </c>
      <c r="I48" s="488">
        <f t="shared" si="16"/>
        <v>583.09294999999997</v>
      </c>
      <c r="J48" s="489">
        <v>722.74</v>
      </c>
      <c r="K48" s="488">
        <f t="shared" si="17"/>
        <v>218.62885</v>
      </c>
      <c r="L48" s="490">
        <f t="shared" si="47"/>
        <v>0.37494682451571404</v>
      </c>
      <c r="M48" s="455">
        <v>44348</v>
      </c>
      <c r="N48" s="455">
        <v>44348</v>
      </c>
      <c r="O48" s="455">
        <v>46173</v>
      </c>
      <c r="P48" s="574">
        <f t="shared" si="48"/>
        <v>5</v>
      </c>
      <c r="Q48" s="492">
        <f t="shared" si="20"/>
        <v>60</v>
      </c>
      <c r="R48" s="493">
        <f t="shared" si="45"/>
        <v>24</v>
      </c>
      <c r="S48" s="494">
        <f t="shared" si="34"/>
        <v>1.8301369863013699</v>
      </c>
      <c r="T48" s="455">
        <v>45443</v>
      </c>
      <c r="U48" s="574">
        <f t="shared" si="49"/>
        <v>3</v>
      </c>
      <c r="V48" s="492">
        <f t="shared" si="35"/>
        <v>36</v>
      </c>
      <c r="W48" s="492">
        <f t="shared" si="1"/>
        <v>0</v>
      </c>
      <c r="X48" s="495">
        <v>3</v>
      </c>
      <c r="Y48" s="496">
        <f t="shared" si="24"/>
        <v>46081</v>
      </c>
      <c r="Z48" s="497">
        <v>20</v>
      </c>
      <c r="AA48" s="583">
        <f t="shared" si="36"/>
        <v>4</v>
      </c>
      <c r="AB48" s="497"/>
      <c r="AC48" s="497">
        <f>-(22+30+31)/30</f>
        <v>-2.7666666666666666</v>
      </c>
      <c r="AD48" s="501">
        <f t="shared" si="37"/>
        <v>0</v>
      </c>
      <c r="AE48" s="502">
        <v>0</v>
      </c>
      <c r="AF48" s="501">
        <f t="shared" si="25"/>
        <v>234899.71245789379</v>
      </c>
      <c r="AG48" s="501">
        <f t="shared" si="4"/>
        <v>188789.1866868338</v>
      </c>
      <c r="AH48" s="501">
        <f t="shared" si="38"/>
        <v>550000.8189088892</v>
      </c>
      <c r="AI48" s="501">
        <f t="shared" si="39"/>
        <v>56099.975141184608</v>
      </c>
      <c r="AJ48" s="501">
        <f t="shared" si="7"/>
        <v>30599.924077284762</v>
      </c>
      <c r="AK48" s="501">
        <f t="shared" si="46"/>
        <v>320701600</v>
      </c>
      <c r="AL48" s="501">
        <f t="shared" si="27"/>
        <v>0</v>
      </c>
      <c r="AM48" s="502">
        <v>320701600</v>
      </c>
      <c r="AN48" s="502"/>
      <c r="AO48" s="502"/>
      <c r="AP48" s="502"/>
      <c r="AQ48" s="502"/>
      <c r="AR48" s="501">
        <f t="shared" si="40"/>
        <v>1962689999.9999998</v>
      </c>
      <c r="AS48" s="501">
        <f t="shared" si="41"/>
        <v>1308460000</v>
      </c>
      <c r="AT48" s="502">
        <v>32711500</v>
      </c>
      <c r="AU48" s="503">
        <f t="shared" si="28"/>
        <v>21807666.666666668</v>
      </c>
      <c r="AV48" s="501">
        <f t="shared" si="42"/>
        <v>1070555999.9999999</v>
      </c>
      <c r="AW48" s="504">
        <f t="shared" si="43"/>
        <v>1119920526.6666667</v>
      </c>
      <c r="AX48" s="502">
        <v>17842600</v>
      </c>
      <c r="AY48" s="501">
        <f t="shared" si="12"/>
        <v>86699.899218469378</v>
      </c>
      <c r="AZ48" s="501">
        <f t="shared" si="13"/>
        <v>50554100</v>
      </c>
      <c r="BA48" s="505">
        <f t="shared" si="44"/>
        <v>12</v>
      </c>
      <c r="BB48" s="506">
        <v>12</v>
      </c>
      <c r="BC48" s="507" t="s">
        <v>1833</v>
      </c>
      <c r="BD48" s="455" t="s">
        <v>1789</v>
      </c>
      <c r="BE48" s="508">
        <v>45809</v>
      </c>
      <c r="BF48" s="509">
        <f t="shared" si="15"/>
        <v>45809</v>
      </c>
      <c r="BG48" s="486" t="s">
        <v>1790</v>
      </c>
      <c r="BH48" s="510" t="s">
        <v>1791</v>
      </c>
      <c r="BI48" s="511">
        <v>0.19</v>
      </c>
      <c r="BJ48" s="512" t="s">
        <v>1834</v>
      </c>
      <c r="BK48" s="513">
        <v>20</v>
      </c>
      <c r="BL48" s="510" t="s">
        <v>1835</v>
      </c>
      <c r="BM48" s="514"/>
      <c r="BN48" s="515" t="s">
        <v>1794</v>
      </c>
      <c r="BO48" s="516"/>
      <c r="BP48" s="516"/>
    </row>
    <row r="49" spans="3:68" ht="40.15" customHeight="1" outlineLevel="1">
      <c r="C49" s="2608"/>
      <c r="D49" s="2612"/>
      <c r="E49" s="485">
        <v>2</v>
      </c>
      <c r="F49" s="485" t="s">
        <v>1786</v>
      </c>
      <c r="G49" s="486" t="s">
        <v>1832</v>
      </c>
      <c r="H49" s="487">
        <v>669.51</v>
      </c>
      <c r="I49" s="488">
        <f t="shared" si="16"/>
        <v>202.52677499999999</v>
      </c>
      <c r="J49" s="489">
        <v>251.03</v>
      </c>
      <c r="K49" s="488">
        <f t="shared" si="17"/>
        <v>75.936575000000005</v>
      </c>
      <c r="L49" s="490">
        <f t="shared" si="47"/>
        <v>0.3749458559244821</v>
      </c>
      <c r="M49" s="455">
        <v>44470</v>
      </c>
      <c r="N49" s="455">
        <v>44470</v>
      </c>
      <c r="O49" s="455">
        <v>46295</v>
      </c>
      <c r="P49" s="574">
        <f t="shared" si="48"/>
        <v>5</v>
      </c>
      <c r="Q49" s="492">
        <f t="shared" si="20"/>
        <v>60</v>
      </c>
      <c r="R49" s="493">
        <f t="shared" si="45"/>
        <v>28</v>
      </c>
      <c r="S49" s="494">
        <f t="shared" si="34"/>
        <v>2.1643835616438358</v>
      </c>
      <c r="T49" s="455">
        <v>45565</v>
      </c>
      <c r="U49" s="574">
        <f t="shared" si="49"/>
        <v>3</v>
      </c>
      <c r="V49" s="492">
        <f t="shared" si="35"/>
        <v>36</v>
      </c>
      <c r="W49" s="492">
        <f t="shared" si="1"/>
        <v>4</v>
      </c>
      <c r="X49" s="495">
        <v>3</v>
      </c>
      <c r="Y49" s="496">
        <f t="shared" si="24"/>
        <v>46203</v>
      </c>
      <c r="Z49" s="497">
        <v>20</v>
      </c>
      <c r="AA49" s="583">
        <f t="shared" si="36"/>
        <v>4</v>
      </c>
      <c r="AB49" s="497"/>
      <c r="AC49" s="497">
        <f>-(13+30)/30</f>
        <v>-1.4333333333333333</v>
      </c>
      <c r="AD49" s="501">
        <f t="shared" si="37"/>
        <v>0</v>
      </c>
      <c r="AE49" s="502">
        <v>0</v>
      </c>
      <c r="AF49" s="501">
        <f t="shared" si="25"/>
        <v>230369.60450217829</v>
      </c>
      <c r="AG49" s="501">
        <f t="shared" si="4"/>
        <v>183384.51420368467</v>
      </c>
      <c r="AH49" s="501">
        <f t="shared" si="38"/>
        <v>550008.75810124364</v>
      </c>
      <c r="AI49" s="501">
        <f t="shared" si="39"/>
        <v>55000.628929187267</v>
      </c>
      <c r="AJ49" s="501">
        <f t="shared" si="7"/>
        <v>30000.477714613291</v>
      </c>
      <c r="AK49" s="501">
        <f t="shared" si="46"/>
        <v>111391500</v>
      </c>
      <c r="AL49" s="501">
        <f t="shared" si="27"/>
        <v>0</v>
      </c>
      <c r="AM49" s="502">
        <v>111391500</v>
      </c>
      <c r="AN49" s="502"/>
      <c r="AO49" s="502"/>
      <c r="AP49" s="502"/>
      <c r="AQ49" s="502"/>
      <c r="AR49" s="501">
        <f t="shared" si="40"/>
        <v>668346000</v>
      </c>
      <c r="AS49" s="501">
        <f t="shared" si="41"/>
        <v>445564000</v>
      </c>
      <c r="AT49" s="502">
        <v>11139100</v>
      </c>
      <c r="AU49" s="503">
        <f t="shared" si="28"/>
        <v>7426066.666666667</v>
      </c>
      <c r="AV49" s="501">
        <f t="shared" si="42"/>
        <v>364554000</v>
      </c>
      <c r="AW49" s="504">
        <f t="shared" si="43"/>
        <v>373262790</v>
      </c>
      <c r="AX49" s="502">
        <v>6075900</v>
      </c>
      <c r="AY49" s="501">
        <f t="shared" si="12"/>
        <v>85001.106643800566</v>
      </c>
      <c r="AZ49" s="501">
        <f t="shared" si="13"/>
        <v>17215000</v>
      </c>
      <c r="BA49" s="505">
        <f t="shared" si="44"/>
        <v>4</v>
      </c>
      <c r="BB49" s="506">
        <v>4</v>
      </c>
      <c r="BC49" s="507" t="s">
        <v>1833</v>
      </c>
      <c r="BD49" s="455" t="s">
        <v>1789</v>
      </c>
      <c r="BE49" s="508">
        <v>45566</v>
      </c>
      <c r="BF49" s="509">
        <f t="shared" si="15"/>
        <v>45566</v>
      </c>
      <c r="BG49" s="486" t="s">
        <v>1790</v>
      </c>
      <c r="BH49" s="510" t="s">
        <v>1791</v>
      </c>
      <c r="BI49" s="511">
        <v>0.19</v>
      </c>
      <c r="BJ49" s="512" t="s">
        <v>1836</v>
      </c>
      <c r="BK49" s="513">
        <v>20</v>
      </c>
      <c r="BL49" s="510" t="s">
        <v>1835</v>
      </c>
      <c r="BM49" s="514"/>
      <c r="BN49" s="515" t="s">
        <v>1794</v>
      </c>
      <c r="BO49" s="516"/>
      <c r="BP49" s="516"/>
    </row>
    <row r="50" spans="3:68" ht="40.15" customHeight="1" outlineLevel="1">
      <c r="C50" s="2608"/>
      <c r="D50" s="2610">
        <v>23</v>
      </c>
      <c r="E50" s="485">
        <v>1</v>
      </c>
      <c r="F50" s="485" t="s">
        <v>1786</v>
      </c>
      <c r="G50" s="486" t="s">
        <v>1837</v>
      </c>
      <c r="H50" s="487">
        <v>958.51</v>
      </c>
      <c r="I50" s="488">
        <f t="shared" si="16"/>
        <v>289.949275</v>
      </c>
      <c r="J50" s="489">
        <v>359.39</v>
      </c>
      <c r="K50" s="488">
        <f t="shared" si="17"/>
        <v>108.715475</v>
      </c>
      <c r="L50" s="490">
        <f t="shared" si="47"/>
        <v>0.37494653159591446</v>
      </c>
      <c r="M50" s="455">
        <v>43541</v>
      </c>
      <c r="N50" s="455">
        <v>45368</v>
      </c>
      <c r="O50" s="455">
        <v>46462</v>
      </c>
      <c r="P50" s="574">
        <f t="shared" si="48"/>
        <v>3</v>
      </c>
      <c r="Q50" s="492">
        <f t="shared" si="20"/>
        <v>36</v>
      </c>
      <c r="R50" s="493">
        <f t="shared" si="45"/>
        <v>34</v>
      </c>
      <c r="S50" s="494">
        <f t="shared" si="34"/>
        <v>2.6219178082191781</v>
      </c>
      <c r="T50" s="455">
        <v>46097</v>
      </c>
      <c r="U50" s="574">
        <f t="shared" si="49"/>
        <v>2</v>
      </c>
      <c r="V50" s="492">
        <f t="shared" si="35"/>
        <v>24</v>
      </c>
      <c r="W50" s="492">
        <f t="shared" si="1"/>
        <v>22</v>
      </c>
      <c r="X50" s="495">
        <v>3</v>
      </c>
      <c r="Y50" s="496">
        <f t="shared" si="24"/>
        <v>46372</v>
      </c>
      <c r="Z50" s="497">
        <v>6</v>
      </c>
      <c r="AA50" s="583">
        <f t="shared" si="36"/>
        <v>2</v>
      </c>
      <c r="AB50" s="499">
        <v>0</v>
      </c>
      <c r="AC50" s="500"/>
      <c r="AD50" s="501">
        <f t="shared" si="37"/>
        <v>0</v>
      </c>
      <c r="AE50" s="502">
        <v>0</v>
      </c>
      <c r="AF50" s="501">
        <f t="shared" si="25"/>
        <v>242380.9483185327</v>
      </c>
      <c r="AG50" s="501">
        <f t="shared" si="4"/>
        <v>216904.61772169633</v>
      </c>
      <c r="AH50" s="501">
        <f t="shared" si="38"/>
        <v>535641.59993454616</v>
      </c>
      <c r="AI50" s="501">
        <f t="shared" si="39"/>
        <v>57313.570770448001</v>
      </c>
      <c r="AJ50" s="501">
        <f t="shared" si="7"/>
        <v>32227.221126678061</v>
      </c>
      <c r="AK50" s="501">
        <f t="shared" si="46"/>
        <v>155308893.56086171</v>
      </c>
      <c r="AL50" s="501">
        <f t="shared" si="27"/>
        <v>0</v>
      </c>
      <c r="AM50" s="502">
        <v>155308893.56086171</v>
      </c>
      <c r="AN50" s="502"/>
      <c r="AO50" s="502"/>
      <c r="AP50" s="502"/>
      <c r="AQ50" s="502"/>
      <c r="AR50" s="501">
        <f t="shared" si="40"/>
        <v>598249018.53189325</v>
      </c>
      <c r="AS50" s="501">
        <f t="shared" si="41"/>
        <v>498540848.77657771</v>
      </c>
      <c r="AT50" s="502">
        <v>16618028.29255259</v>
      </c>
      <c r="AU50" s="503">
        <f t="shared" si="28"/>
        <v>13848356.910460493</v>
      </c>
      <c r="AV50" s="501">
        <f t="shared" si="42"/>
        <v>336393338.43401951</v>
      </c>
      <c r="AW50" s="504">
        <f t="shared" si="43"/>
        <v>336393338.43401951</v>
      </c>
      <c r="AX50" s="502">
        <v>9344259.4009449873</v>
      </c>
      <c r="AY50" s="501">
        <f t="shared" si="12"/>
        <v>89540.791897126066</v>
      </c>
      <c r="AZ50" s="501">
        <f t="shared" si="13"/>
        <v>25962287.693497576</v>
      </c>
      <c r="BA50" s="505">
        <f t="shared" si="44"/>
        <v>6</v>
      </c>
      <c r="BB50" s="506">
        <v>8.0873270334120804</v>
      </c>
      <c r="BC50" s="585"/>
      <c r="BD50" s="455" t="s">
        <v>1789</v>
      </c>
      <c r="BE50" s="508">
        <v>45733</v>
      </c>
      <c r="BF50" s="509">
        <f t="shared" si="15"/>
        <v>45733</v>
      </c>
      <c r="BG50" s="486" t="s">
        <v>1790</v>
      </c>
      <c r="BH50" s="510" t="s">
        <v>1791</v>
      </c>
      <c r="BI50" s="511">
        <v>0.19</v>
      </c>
      <c r="BJ50" s="512" t="s">
        <v>1838</v>
      </c>
      <c r="BK50" s="513">
        <v>10</v>
      </c>
      <c r="BL50" s="514"/>
      <c r="BM50" s="514"/>
      <c r="BN50" s="515" t="s">
        <v>1794</v>
      </c>
      <c r="BO50" s="516"/>
      <c r="BP50" s="516"/>
    </row>
    <row r="51" spans="3:68" ht="40.15" customHeight="1" outlineLevel="1">
      <c r="C51" s="2608"/>
      <c r="D51" s="2611"/>
      <c r="E51" s="485">
        <v>2</v>
      </c>
      <c r="F51" s="485" t="s">
        <v>1786</v>
      </c>
      <c r="G51" s="486" t="s">
        <v>1837</v>
      </c>
      <c r="H51" s="487">
        <v>126.6</v>
      </c>
      <c r="I51" s="488">
        <f t="shared" si="16"/>
        <v>38.296499999999995</v>
      </c>
      <c r="J51" s="489">
        <v>47.53</v>
      </c>
      <c r="K51" s="488">
        <f t="shared" si="17"/>
        <v>14.377825</v>
      </c>
      <c r="L51" s="490">
        <f t="shared" si="47"/>
        <v>0.37543443917851504</v>
      </c>
      <c r="M51" s="455">
        <v>44821</v>
      </c>
      <c r="N51" s="455">
        <v>45368</v>
      </c>
      <c r="O51" s="455">
        <v>46462</v>
      </c>
      <c r="P51" s="574">
        <f t="shared" si="48"/>
        <v>3</v>
      </c>
      <c r="Q51" s="492">
        <f t="shared" si="20"/>
        <v>36</v>
      </c>
      <c r="R51" s="493">
        <f t="shared" si="45"/>
        <v>34</v>
      </c>
      <c r="S51" s="494">
        <f t="shared" si="34"/>
        <v>2.6219178082191781</v>
      </c>
      <c r="T51" s="455">
        <v>46097</v>
      </c>
      <c r="U51" s="574">
        <f t="shared" si="49"/>
        <v>2</v>
      </c>
      <c r="V51" s="492">
        <f t="shared" si="35"/>
        <v>24</v>
      </c>
      <c r="W51" s="492">
        <f t="shared" si="1"/>
        <v>22</v>
      </c>
      <c r="X51" s="495">
        <v>3</v>
      </c>
      <c r="Y51" s="496">
        <f t="shared" si="24"/>
        <v>46372</v>
      </c>
      <c r="Z51" s="497">
        <v>6</v>
      </c>
      <c r="AA51" s="583">
        <f t="shared" si="36"/>
        <v>2</v>
      </c>
      <c r="AB51" s="499">
        <v>0</v>
      </c>
      <c r="AC51" s="500"/>
      <c r="AD51" s="501">
        <f t="shared" si="37"/>
        <v>0</v>
      </c>
      <c r="AE51" s="502">
        <v>0</v>
      </c>
      <c r="AF51" s="501">
        <f t="shared" si="25"/>
        <v>249724.83668426902</v>
      </c>
      <c r="AG51" s="501">
        <f t="shared" si="4"/>
        <v>223381.02830805999</v>
      </c>
      <c r="AH51" s="501">
        <f t="shared" si="38"/>
        <v>559842.28323737159</v>
      </c>
      <c r="AI51" s="501">
        <f t="shared" si="39"/>
        <v>59342.23754128968</v>
      </c>
      <c r="AJ51" s="501">
        <f t="shared" si="7"/>
        <v>33013.460760121685</v>
      </c>
      <c r="AK51" s="501">
        <f t="shared" si="46"/>
        <v>21440000</v>
      </c>
      <c r="AL51" s="501">
        <f t="shared" si="27"/>
        <v>0</v>
      </c>
      <c r="AM51" s="502"/>
      <c r="AN51" s="502">
        <v>21440000</v>
      </c>
      <c r="AO51" s="502"/>
      <c r="AP51" s="502"/>
      <c r="AQ51" s="502"/>
      <c r="AR51" s="501">
        <f t="shared" si="40"/>
        <v>81813600</v>
      </c>
      <c r="AS51" s="501">
        <f t="shared" si="41"/>
        <v>68177999.999999985</v>
      </c>
      <c r="AT51" s="502">
        <v>2272600</v>
      </c>
      <c r="AU51" s="503">
        <f t="shared" si="28"/>
        <v>1893833.333333333</v>
      </c>
      <c r="AV51" s="501">
        <f t="shared" si="42"/>
        <v>45514799.999999993</v>
      </c>
      <c r="AW51" s="504">
        <f t="shared" si="43"/>
        <v>45514799.999999993</v>
      </c>
      <c r="AX51" s="502">
        <v>1264300</v>
      </c>
      <c r="AY51" s="501">
        <f t="shared" si="12"/>
        <v>92355.698301411365</v>
      </c>
      <c r="AZ51" s="501">
        <f t="shared" si="13"/>
        <v>3536900</v>
      </c>
      <c r="BA51" s="505">
        <f t="shared" si="44"/>
        <v>1</v>
      </c>
      <c r="BB51" s="506">
        <v>0</v>
      </c>
      <c r="BC51" s="501"/>
      <c r="BD51" s="455" t="s">
        <v>1789</v>
      </c>
      <c r="BE51" s="508">
        <v>45733</v>
      </c>
      <c r="BF51" s="509">
        <f t="shared" si="15"/>
        <v>45733</v>
      </c>
      <c r="BG51" s="486" t="s">
        <v>1790</v>
      </c>
      <c r="BH51" s="510" t="s">
        <v>1839</v>
      </c>
      <c r="BI51" s="511">
        <v>0.19</v>
      </c>
      <c r="BJ51" s="512" t="s">
        <v>1838</v>
      </c>
      <c r="BK51" s="513">
        <v>10</v>
      </c>
      <c r="BL51" s="514"/>
      <c r="BM51" s="514"/>
      <c r="BN51" s="515" t="s">
        <v>1794</v>
      </c>
      <c r="BO51" s="516"/>
      <c r="BP51" s="516"/>
    </row>
    <row r="52" spans="3:68" ht="40.15" customHeight="1" outlineLevel="1">
      <c r="C52" s="2608"/>
      <c r="D52" s="2611"/>
      <c r="E52" s="485">
        <v>3</v>
      </c>
      <c r="F52" s="485" t="s">
        <v>1786</v>
      </c>
      <c r="G52" s="486" t="s">
        <v>1840</v>
      </c>
      <c r="H52" s="487">
        <v>987.1</v>
      </c>
      <c r="I52" s="488">
        <f t="shared" si="16"/>
        <v>298.59775000000002</v>
      </c>
      <c r="J52" s="489">
        <v>370.06</v>
      </c>
      <c r="K52" s="488">
        <f t="shared" si="17"/>
        <v>111.94315</v>
      </c>
      <c r="L52" s="490">
        <f t="shared" si="47"/>
        <v>0.3748961604700638</v>
      </c>
      <c r="M52" s="455">
        <v>44044</v>
      </c>
      <c r="N52" s="455">
        <v>44044</v>
      </c>
      <c r="O52" s="455">
        <v>45869</v>
      </c>
      <c r="P52" s="574">
        <f t="shared" si="48"/>
        <v>5</v>
      </c>
      <c r="Q52" s="492">
        <f t="shared" si="20"/>
        <v>60</v>
      </c>
      <c r="R52" s="493">
        <f t="shared" si="45"/>
        <v>14</v>
      </c>
      <c r="S52" s="494">
        <f t="shared" si="34"/>
        <v>0.99726027397260275</v>
      </c>
      <c r="T52" s="455">
        <v>44773</v>
      </c>
      <c r="U52" s="574">
        <f t="shared" si="49"/>
        <v>2</v>
      </c>
      <c r="V52" s="492">
        <f t="shared" si="35"/>
        <v>24</v>
      </c>
      <c r="W52" s="492" t="str">
        <f t="shared" si="1"/>
        <v>만료</v>
      </c>
      <c r="X52" s="495">
        <v>3</v>
      </c>
      <c r="Y52" s="496">
        <f t="shared" si="24"/>
        <v>45777</v>
      </c>
      <c r="Z52" s="497">
        <v>22</v>
      </c>
      <c r="AA52" s="583">
        <f t="shared" si="36"/>
        <v>4.3999999999999995</v>
      </c>
      <c r="AB52" s="499">
        <v>2</v>
      </c>
      <c r="AC52" s="500"/>
      <c r="AD52" s="501">
        <f t="shared" si="37"/>
        <v>0</v>
      </c>
      <c r="AE52" s="502"/>
      <c r="AF52" s="501">
        <f t="shared" si="25"/>
        <v>244273.76753289503</v>
      </c>
      <c r="AG52" s="501">
        <f t="shared" si="4"/>
        <v>181998.94321358652</v>
      </c>
      <c r="AH52" s="501">
        <f t="shared" si="38"/>
        <v>550004.14437148301</v>
      </c>
      <c r="AI52" s="501">
        <f t="shared" si="39"/>
        <v>58366.481328141286</v>
      </c>
      <c r="AJ52" s="501">
        <f t="shared" si="7"/>
        <v>31835.80586256929</v>
      </c>
      <c r="AK52" s="501">
        <f t="shared" si="46"/>
        <v>164230000</v>
      </c>
      <c r="AL52" s="501">
        <f t="shared" si="27"/>
        <v>0</v>
      </c>
      <c r="AM52" s="502">
        <v>164230000</v>
      </c>
      <c r="AN52" s="502"/>
      <c r="AO52" s="502"/>
      <c r="AP52" s="502"/>
      <c r="AQ52" s="502"/>
      <c r="AR52" s="501">
        <f t="shared" si="40"/>
        <v>1045686000.0000001</v>
      </c>
      <c r="AS52" s="501">
        <f t="shared" si="41"/>
        <v>627411600</v>
      </c>
      <c r="AT52" s="502">
        <v>17428100</v>
      </c>
      <c r="AU52" s="503">
        <f t="shared" si="28"/>
        <v>10456860</v>
      </c>
      <c r="AV52" s="501">
        <f t="shared" si="42"/>
        <v>570366000</v>
      </c>
      <c r="AW52" s="504">
        <f t="shared" si="43"/>
        <v>570366000</v>
      </c>
      <c r="AX52" s="502">
        <v>9506100</v>
      </c>
      <c r="AY52" s="501">
        <f t="shared" si="12"/>
        <v>90202.287190710573</v>
      </c>
      <c r="AZ52" s="501">
        <f t="shared" si="13"/>
        <v>26934200</v>
      </c>
      <c r="BA52" s="505">
        <f t="shared" si="44"/>
        <v>6</v>
      </c>
      <c r="BB52" s="506">
        <v>6</v>
      </c>
      <c r="BC52" s="507" t="s">
        <v>1808</v>
      </c>
      <c r="BD52" s="455" t="s">
        <v>1789</v>
      </c>
      <c r="BE52" s="508">
        <v>45505</v>
      </c>
      <c r="BF52" s="509">
        <f t="shared" si="15"/>
        <v>45505</v>
      </c>
      <c r="BG52" s="486" t="s">
        <v>1790</v>
      </c>
      <c r="BH52" s="510" t="s">
        <v>1839</v>
      </c>
      <c r="BI52" s="511">
        <v>0.19</v>
      </c>
      <c r="BJ52" s="512" t="s">
        <v>1841</v>
      </c>
      <c r="BK52" s="513">
        <v>10</v>
      </c>
      <c r="BL52" s="514"/>
      <c r="BM52" s="514"/>
      <c r="BN52" s="515" t="s">
        <v>1794</v>
      </c>
      <c r="BO52" s="516"/>
      <c r="BP52" s="516"/>
    </row>
    <row r="53" spans="3:68" ht="40.15" customHeight="1" outlineLevel="1">
      <c r="C53" s="2608"/>
      <c r="D53" s="2612"/>
      <c r="E53" s="485">
        <v>4</v>
      </c>
      <c r="F53" s="485" t="s">
        <v>1786</v>
      </c>
      <c r="G53" s="486" t="s">
        <v>126</v>
      </c>
      <c r="H53" s="487">
        <v>524.88</v>
      </c>
      <c r="I53" s="488">
        <f t="shared" si="16"/>
        <v>158.77619999999999</v>
      </c>
      <c r="J53" s="489">
        <v>196.79</v>
      </c>
      <c r="K53" s="488">
        <f t="shared" si="17"/>
        <v>59.528974999999996</v>
      </c>
      <c r="L53" s="490">
        <f t="shared" si="47"/>
        <v>0.37492379210486204</v>
      </c>
      <c r="M53" s="455">
        <v>43556</v>
      </c>
      <c r="N53" s="455">
        <v>45383</v>
      </c>
      <c r="O53" s="455">
        <v>45747</v>
      </c>
      <c r="P53" s="574">
        <f t="shared" si="48"/>
        <v>1</v>
      </c>
      <c r="Q53" s="492">
        <f t="shared" si="20"/>
        <v>12</v>
      </c>
      <c r="R53" s="493">
        <f t="shared" si="45"/>
        <v>10</v>
      </c>
      <c r="S53" s="494">
        <f t="shared" si="34"/>
        <v>0.66301369863013704</v>
      </c>
      <c r="T53" s="455"/>
      <c r="U53" s="574"/>
      <c r="V53" s="492"/>
      <c r="W53" s="492" t="str">
        <f t="shared" si="1"/>
        <v>만료</v>
      </c>
      <c r="X53" s="495">
        <v>3</v>
      </c>
      <c r="Y53" s="496">
        <f t="shared" si="24"/>
        <v>45657</v>
      </c>
      <c r="Z53" s="497">
        <v>3</v>
      </c>
      <c r="AA53" s="583">
        <f t="shared" si="36"/>
        <v>3</v>
      </c>
      <c r="AB53" s="499">
        <v>0</v>
      </c>
      <c r="AC53" s="500"/>
      <c r="AD53" s="501">
        <f t="shared" si="37"/>
        <v>0</v>
      </c>
      <c r="AE53" s="502"/>
      <c r="AF53" s="501">
        <f t="shared" si="25"/>
        <v>269045.7462101439</v>
      </c>
      <c r="AG53" s="501">
        <f t="shared" si="4"/>
        <v>226117.07156052999</v>
      </c>
      <c r="AH53" s="501">
        <f t="shared" si="38"/>
        <v>550000.56683558365</v>
      </c>
      <c r="AI53" s="501">
        <f t="shared" si="39"/>
        <v>64379.925958676431</v>
      </c>
      <c r="AJ53" s="501">
        <f t="shared" si="7"/>
        <v>35116.724043024085</v>
      </c>
      <c r="AK53" s="501">
        <f t="shared" si="46"/>
        <v>87327000</v>
      </c>
      <c r="AL53" s="501">
        <f t="shared" si="27"/>
        <v>0</v>
      </c>
      <c r="AM53" s="502">
        <v>87327000</v>
      </c>
      <c r="AN53" s="502"/>
      <c r="AO53" s="502"/>
      <c r="AP53" s="502"/>
      <c r="AQ53" s="502"/>
      <c r="AR53" s="501">
        <f t="shared" si="40"/>
        <v>122664000</v>
      </c>
      <c r="AS53" s="501">
        <f t="shared" si="41"/>
        <v>91998000</v>
      </c>
      <c r="AT53" s="502">
        <v>10222000</v>
      </c>
      <c r="AU53" s="503">
        <f t="shared" si="28"/>
        <v>7666500</v>
      </c>
      <c r="AV53" s="501">
        <f t="shared" si="42"/>
        <v>66908400</v>
      </c>
      <c r="AW53" s="504">
        <f t="shared" si="43"/>
        <v>66908400</v>
      </c>
      <c r="AX53" s="502">
        <v>5575700</v>
      </c>
      <c r="AY53" s="501">
        <f t="shared" si="12"/>
        <v>99496.650001700516</v>
      </c>
      <c r="AZ53" s="501">
        <f t="shared" si="13"/>
        <v>15797700</v>
      </c>
      <c r="BA53" s="505">
        <f t="shared" si="44"/>
        <v>3</v>
      </c>
      <c r="BB53" s="506">
        <v>3</v>
      </c>
      <c r="BC53" s="501"/>
      <c r="BD53" s="455" t="s">
        <v>1789</v>
      </c>
      <c r="BE53" s="508"/>
      <c r="BF53" s="509">
        <f t="shared" si="15"/>
        <v>0</v>
      </c>
      <c r="BG53" s="486"/>
      <c r="BH53" s="510" t="s">
        <v>1791</v>
      </c>
      <c r="BI53" s="511">
        <v>0.19</v>
      </c>
      <c r="BJ53" s="512" t="s">
        <v>1842</v>
      </c>
      <c r="BK53" s="513">
        <v>10</v>
      </c>
      <c r="BL53" s="514"/>
      <c r="BM53" s="514"/>
      <c r="BN53" s="515" t="s">
        <v>1794</v>
      </c>
      <c r="BO53" s="516"/>
      <c r="BP53" s="516"/>
    </row>
    <row r="54" spans="3:68" ht="40.15" customHeight="1" outlineLevel="1">
      <c r="C54" s="2608"/>
      <c r="D54" s="485">
        <v>22</v>
      </c>
      <c r="E54" s="485"/>
      <c r="F54" s="485" t="s">
        <v>1786</v>
      </c>
      <c r="G54" s="486" t="s">
        <v>1837</v>
      </c>
      <c r="H54" s="487">
        <v>2597.09</v>
      </c>
      <c r="I54" s="488">
        <f t="shared" si="16"/>
        <v>785.61972500000002</v>
      </c>
      <c r="J54" s="489">
        <v>1122.6199999999999</v>
      </c>
      <c r="K54" s="488">
        <f t="shared" si="17"/>
        <v>339.59254999999996</v>
      </c>
      <c r="L54" s="490">
        <f t="shared" si="47"/>
        <v>0.43226072257796216</v>
      </c>
      <c r="M54" s="455">
        <v>43541</v>
      </c>
      <c r="N54" s="455">
        <v>45368</v>
      </c>
      <c r="O54" s="455">
        <v>46462</v>
      </c>
      <c r="P54" s="574">
        <f t="shared" si="48"/>
        <v>3</v>
      </c>
      <c r="Q54" s="492">
        <f t="shared" si="20"/>
        <v>36</v>
      </c>
      <c r="R54" s="493">
        <f t="shared" si="45"/>
        <v>34</v>
      </c>
      <c r="S54" s="494">
        <f t="shared" si="34"/>
        <v>2.6219178082191785</v>
      </c>
      <c r="T54" s="455">
        <v>46097</v>
      </c>
      <c r="U54" s="574">
        <f t="shared" si="49"/>
        <v>2</v>
      </c>
      <c r="V54" s="492">
        <f>DATEDIF(N54,T54,"m")+1</f>
        <v>24</v>
      </c>
      <c r="W54" s="492">
        <f t="shared" si="1"/>
        <v>22</v>
      </c>
      <c r="X54" s="495">
        <v>3</v>
      </c>
      <c r="Y54" s="496">
        <f t="shared" si="24"/>
        <v>46372</v>
      </c>
      <c r="Z54" s="497">
        <v>6</v>
      </c>
      <c r="AA54" s="583">
        <f t="shared" si="36"/>
        <v>2</v>
      </c>
      <c r="AB54" s="499">
        <v>0</v>
      </c>
      <c r="AC54" s="500"/>
      <c r="AD54" s="501">
        <f t="shared" si="37"/>
        <v>0</v>
      </c>
      <c r="AE54" s="502">
        <v>0</v>
      </c>
      <c r="AF54" s="501">
        <f t="shared" si="25"/>
        <v>210243.24244627942</v>
      </c>
      <c r="AG54" s="501">
        <f t="shared" si="4"/>
        <v>188144.86224160605</v>
      </c>
      <c r="AH54" s="501">
        <f t="shared" si="38"/>
        <v>535641.59993454628</v>
      </c>
      <c r="AI54" s="501">
        <f t="shared" si="39"/>
        <v>57313.570770448016</v>
      </c>
      <c r="AJ54" s="501">
        <f t="shared" si="7"/>
        <v>32227.221126678065</v>
      </c>
      <c r="AK54" s="501">
        <f t="shared" si="46"/>
        <v>420810606.43913823</v>
      </c>
      <c r="AL54" s="501">
        <f t="shared" si="27"/>
        <v>0</v>
      </c>
      <c r="AM54" s="502">
        <v>420810606.43913823</v>
      </c>
      <c r="AN54" s="502"/>
      <c r="AO54" s="502"/>
      <c r="AP54" s="502"/>
      <c r="AQ54" s="502"/>
      <c r="AR54" s="501">
        <f t="shared" si="40"/>
        <v>1620960181.4681067</v>
      </c>
      <c r="AS54" s="501">
        <f t="shared" si="41"/>
        <v>1350800151.2234223</v>
      </c>
      <c r="AT54" s="502">
        <v>45026671.70744741</v>
      </c>
      <c r="AU54" s="503">
        <f t="shared" si="28"/>
        <v>37522226.422872841</v>
      </c>
      <c r="AV54" s="501">
        <f t="shared" si="42"/>
        <v>911460261.56598055</v>
      </c>
      <c r="AW54" s="504">
        <f t="shared" si="43"/>
        <v>911460261.56598055</v>
      </c>
      <c r="AX54" s="502">
        <v>25318340.599055011</v>
      </c>
      <c r="AY54" s="501">
        <f t="shared" si="12"/>
        <v>89540.791897126081</v>
      </c>
      <c r="AZ54" s="501">
        <f t="shared" si="13"/>
        <v>70345012.306502417</v>
      </c>
      <c r="BA54" s="505">
        <f t="shared" si="44"/>
        <v>16</v>
      </c>
      <c r="BB54" s="506">
        <v>21.912672966587916</v>
      </c>
      <c r="BC54" s="507" t="s">
        <v>1811</v>
      </c>
      <c r="BD54" s="455" t="s">
        <v>1789</v>
      </c>
      <c r="BE54" s="508">
        <v>45733</v>
      </c>
      <c r="BF54" s="509">
        <f t="shared" si="15"/>
        <v>45733</v>
      </c>
      <c r="BG54" s="486" t="s">
        <v>1790</v>
      </c>
      <c r="BH54" s="510" t="s">
        <v>1791</v>
      </c>
      <c r="BI54" s="511">
        <v>0.19</v>
      </c>
      <c r="BJ54" s="512" t="s">
        <v>1838</v>
      </c>
      <c r="BK54" s="513">
        <v>10</v>
      </c>
      <c r="BL54" s="514"/>
      <c r="BM54" s="514"/>
      <c r="BN54" s="515" t="s">
        <v>1794</v>
      </c>
      <c r="BO54" s="516"/>
      <c r="BP54" s="516"/>
    </row>
    <row r="55" spans="3:68" ht="40.15" customHeight="1" outlineLevel="1">
      <c r="C55" s="2608"/>
      <c r="D55" s="2610">
        <v>21</v>
      </c>
      <c r="E55" s="485">
        <v>1</v>
      </c>
      <c r="F55" s="485" t="s">
        <v>1786</v>
      </c>
      <c r="G55" s="486" t="s">
        <v>1843</v>
      </c>
      <c r="H55" s="487">
        <v>527.69000000000005</v>
      </c>
      <c r="I55" s="488">
        <f t="shared" si="16"/>
        <v>159.62622500000001</v>
      </c>
      <c r="J55" s="489">
        <v>197.86</v>
      </c>
      <c r="K55" s="488">
        <f t="shared" si="17"/>
        <v>59.852650000000004</v>
      </c>
      <c r="L55" s="490">
        <f t="shared" si="47"/>
        <v>0.37495499251454451</v>
      </c>
      <c r="M55" s="455">
        <v>44024</v>
      </c>
      <c r="N55" s="455">
        <v>44287</v>
      </c>
      <c r="O55" s="455">
        <v>45869</v>
      </c>
      <c r="P55" s="574">
        <f t="shared" si="48"/>
        <v>4.333333333333333</v>
      </c>
      <c r="Q55" s="492">
        <f t="shared" si="20"/>
        <v>52</v>
      </c>
      <c r="R55" s="493">
        <f t="shared" si="45"/>
        <v>14</v>
      </c>
      <c r="S55" s="494">
        <f t="shared" si="34"/>
        <v>0.99726027397260275</v>
      </c>
      <c r="T55" s="455"/>
      <c r="U55" s="574"/>
      <c r="V55" s="492"/>
      <c r="W55" s="492" t="str">
        <f t="shared" si="1"/>
        <v>만료</v>
      </c>
      <c r="X55" s="495">
        <v>3</v>
      </c>
      <c r="Y55" s="496">
        <f t="shared" si="24"/>
        <v>45777</v>
      </c>
      <c r="Z55" s="497">
        <v>15</v>
      </c>
      <c r="AA55" s="583">
        <f t="shared" si="36"/>
        <v>3.4615384615384612</v>
      </c>
      <c r="AB55" s="499">
        <v>0</v>
      </c>
      <c r="AC55" s="500"/>
      <c r="AD55" s="501">
        <f t="shared" si="37"/>
        <v>0</v>
      </c>
      <c r="AE55" s="502"/>
      <c r="AF55" s="501">
        <f t="shared" si="25"/>
        <v>247307.22031522411</v>
      </c>
      <c r="AG55" s="501">
        <f t="shared" si="4"/>
        <v>202402.2296037403</v>
      </c>
      <c r="AH55" s="501">
        <f t="shared" si="38"/>
        <v>440009.15263140498</v>
      </c>
      <c r="AI55" s="501">
        <f t="shared" si="39"/>
        <v>58369.481581112377</v>
      </c>
      <c r="AJ55" s="501">
        <f t="shared" si="7"/>
        <v>33259.572479396789</v>
      </c>
      <c r="AK55" s="501">
        <f t="shared" si="46"/>
        <v>70237000</v>
      </c>
      <c r="AL55" s="501">
        <f t="shared" si="27"/>
        <v>0</v>
      </c>
      <c r="AM55" s="502">
        <v>70237000</v>
      </c>
      <c r="AN55" s="502"/>
      <c r="AO55" s="502"/>
      <c r="AP55" s="502"/>
      <c r="AQ55" s="502"/>
      <c r="AR55" s="501">
        <f t="shared" si="40"/>
        <v>484499600.00000006</v>
      </c>
      <c r="AS55" s="501">
        <f t="shared" si="41"/>
        <v>344740100</v>
      </c>
      <c r="AT55" s="502">
        <v>9317300</v>
      </c>
      <c r="AU55" s="503">
        <f t="shared" si="28"/>
        <v>6629617.307692308</v>
      </c>
      <c r="AV55" s="501">
        <f t="shared" si="42"/>
        <v>276073200</v>
      </c>
      <c r="AW55" s="504">
        <f t="shared" si="43"/>
        <v>276073200</v>
      </c>
      <c r="AX55" s="502">
        <v>5309100</v>
      </c>
      <c r="AY55" s="501">
        <f t="shared" si="12"/>
        <v>91629.054060509166</v>
      </c>
      <c r="AZ55" s="501">
        <f t="shared" si="13"/>
        <v>14626400</v>
      </c>
      <c r="BA55" s="505">
        <f t="shared" si="44"/>
        <v>3</v>
      </c>
      <c r="BB55" s="506">
        <v>3</v>
      </c>
      <c r="BC55" s="507" t="s">
        <v>1808</v>
      </c>
      <c r="BD55" s="455" t="s">
        <v>1789</v>
      </c>
      <c r="BE55" s="508">
        <v>45505</v>
      </c>
      <c r="BF55" s="509">
        <f t="shared" si="15"/>
        <v>45505</v>
      </c>
      <c r="BG55" s="486" t="s">
        <v>1790</v>
      </c>
      <c r="BH55" s="510" t="s">
        <v>1791</v>
      </c>
      <c r="BI55" s="511">
        <v>0.19</v>
      </c>
      <c r="BJ55" s="512" t="s">
        <v>1809</v>
      </c>
      <c r="BK55" s="513">
        <v>10</v>
      </c>
      <c r="BL55" s="514"/>
      <c r="BM55" s="514"/>
      <c r="BN55" s="515" t="s">
        <v>1794</v>
      </c>
      <c r="BO55" s="516"/>
      <c r="BP55" s="516"/>
    </row>
    <row r="56" spans="3:68" ht="40.15" customHeight="1" outlineLevel="1">
      <c r="C56" s="2608"/>
      <c r="D56" s="2612"/>
      <c r="E56" s="485">
        <v>2</v>
      </c>
      <c r="F56" s="485" t="s">
        <v>1786</v>
      </c>
      <c r="G56" s="486" t="s">
        <v>1807</v>
      </c>
      <c r="H56" s="487">
        <v>2069.4</v>
      </c>
      <c r="I56" s="488">
        <f t="shared" si="16"/>
        <v>625.99350000000004</v>
      </c>
      <c r="J56" s="489">
        <v>775.91</v>
      </c>
      <c r="K56" s="488">
        <f t="shared" si="17"/>
        <v>234.71277499999999</v>
      </c>
      <c r="L56" s="490">
        <f t="shared" si="47"/>
        <v>0.37494442833671593</v>
      </c>
      <c r="M56" s="455">
        <v>44024</v>
      </c>
      <c r="N56" s="455">
        <v>44604</v>
      </c>
      <c r="O56" s="455">
        <v>45869</v>
      </c>
      <c r="P56" s="574">
        <f t="shared" si="48"/>
        <v>3.5</v>
      </c>
      <c r="Q56" s="492">
        <f t="shared" si="20"/>
        <v>42</v>
      </c>
      <c r="R56" s="493">
        <f t="shared" si="45"/>
        <v>14</v>
      </c>
      <c r="S56" s="494">
        <f t="shared" si="34"/>
        <v>0.99726027397260275</v>
      </c>
      <c r="T56" s="455">
        <v>45333</v>
      </c>
      <c r="U56" s="574">
        <f t="shared" si="49"/>
        <v>2</v>
      </c>
      <c r="V56" s="492">
        <f t="shared" ref="V56:V61" si="50">DATEDIF(N56,T56,"m")+1</f>
        <v>24</v>
      </c>
      <c r="W56" s="492" t="str">
        <f t="shared" si="1"/>
        <v>만료</v>
      </c>
      <c r="X56" s="495">
        <v>3</v>
      </c>
      <c r="Y56" s="496">
        <f t="shared" si="24"/>
        <v>45777</v>
      </c>
      <c r="Z56" s="497">
        <v>9</v>
      </c>
      <c r="AA56" s="583">
        <f t="shared" si="36"/>
        <v>2.5714285714285712</v>
      </c>
      <c r="AB56" s="499">
        <v>0</v>
      </c>
      <c r="AC56" s="500"/>
      <c r="AD56" s="501">
        <f t="shared" si="37"/>
        <v>0</v>
      </c>
      <c r="AE56" s="502">
        <v>0</v>
      </c>
      <c r="AF56" s="501">
        <f t="shared" si="25"/>
        <v>242505.98204550223</v>
      </c>
      <c r="AG56" s="501">
        <f t="shared" si="4"/>
        <v>209803.30655506198</v>
      </c>
      <c r="AH56" s="501">
        <f t="shared" si="38"/>
        <v>439994.98397347576</v>
      </c>
      <c r="AI56" s="501">
        <f t="shared" si="39"/>
        <v>57221.201178606483</v>
      </c>
      <c r="AJ56" s="501">
        <f t="shared" si="7"/>
        <v>32605.078167744552</v>
      </c>
      <c r="AK56" s="501">
        <f t="shared" si="46"/>
        <v>275434000</v>
      </c>
      <c r="AL56" s="501">
        <f t="shared" si="27"/>
        <v>0</v>
      </c>
      <c r="AM56" s="502">
        <v>275434000</v>
      </c>
      <c r="AN56" s="502"/>
      <c r="AO56" s="502"/>
      <c r="AP56" s="502"/>
      <c r="AQ56" s="502"/>
      <c r="AR56" s="501">
        <f t="shared" si="40"/>
        <v>1504444200</v>
      </c>
      <c r="AS56" s="501">
        <f t="shared" si="41"/>
        <v>1182063300</v>
      </c>
      <c r="AT56" s="502">
        <v>35820100</v>
      </c>
      <c r="AU56" s="503">
        <f t="shared" si="28"/>
        <v>28144364.285714287</v>
      </c>
      <c r="AV56" s="501">
        <f t="shared" si="42"/>
        <v>857243814</v>
      </c>
      <c r="AW56" s="504">
        <f t="shared" si="43"/>
        <v>857243814</v>
      </c>
      <c r="AX56" s="502">
        <v>20410567</v>
      </c>
      <c r="AY56" s="501">
        <f t="shared" si="12"/>
        <v>89826.279346351032</v>
      </c>
      <c r="AZ56" s="501">
        <f t="shared" si="13"/>
        <v>56230667</v>
      </c>
      <c r="BA56" s="505">
        <f t="shared" si="44"/>
        <v>13</v>
      </c>
      <c r="BB56" s="506">
        <v>12</v>
      </c>
      <c r="BC56" s="507" t="s">
        <v>1808</v>
      </c>
      <c r="BD56" s="455" t="s">
        <v>1789</v>
      </c>
      <c r="BE56" s="508">
        <v>45505</v>
      </c>
      <c r="BF56" s="509">
        <f t="shared" si="15"/>
        <v>45505</v>
      </c>
      <c r="BG56" s="486" t="s">
        <v>1790</v>
      </c>
      <c r="BH56" s="510" t="s">
        <v>1791</v>
      </c>
      <c r="BI56" s="511">
        <v>0.19</v>
      </c>
      <c r="BJ56" s="512" t="s">
        <v>1809</v>
      </c>
      <c r="BK56" s="513">
        <v>10</v>
      </c>
      <c r="BL56" s="514"/>
      <c r="BM56" s="514"/>
      <c r="BN56" s="515" t="s">
        <v>1794</v>
      </c>
      <c r="BO56" s="516"/>
      <c r="BP56" s="516"/>
    </row>
    <row r="57" spans="3:68" ht="40.15" customHeight="1" outlineLevel="1">
      <c r="C57" s="2608"/>
      <c r="D57" s="485">
        <v>20</v>
      </c>
      <c r="E57" s="485"/>
      <c r="F57" s="485" t="s">
        <v>1786</v>
      </c>
      <c r="G57" s="486" t="s">
        <v>656</v>
      </c>
      <c r="H57" s="487">
        <v>2534.4899999999998</v>
      </c>
      <c r="I57" s="488">
        <f t="shared" si="16"/>
        <v>766.68322499999988</v>
      </c>
      <c r="J57" s="489">
        <v>973.84</v>
      </c>
      <c r="K57" s="488">
        <f t="shared" si="17"/>
        <v>294.58659999999998</v>
      </c>
      <c r="L57" s="490">
        <f t="shared" si="47"/>
        <v>0.38423509266164008</v>
      </c>
      <c r="M57" s="455">
        <v>44541</v>
      </c>
      <c r="N57" s="455">
        <v>44541</v>
      </c>
      <c r="O57" s="455">
        <v>46366</v>
      </c>
      <c r="P57" s="574">
        <f t="shared" si="48"/>
        <v>5</v>
      </c>
      <c r="Q57" s="492">
        <f t="shared" si="20"/>
        <v>60</v>
      </c>
      <c r="R57" s="493">
        <f t="shared" si="45"/>
        <v>30</v>
      </c>
      <c r="S57" s="494">
        <f t="shared" si="34"/>
        <v>2.3589041095890408</v>
      </c>
      <c r="T57" s="455">
        <v>45636</v>
      </c>
      <c r="U57" s="574">
        <f t="shared" si="49"/>
        <v>3</v>
      </c>
      <c r="V57" s="492">
        <f t="shared" si="50"/>
        <v>36</v>
      </c>
      <c r="W57" s="492">
        <f t="shared" si="1"/>
        <v>6</v>
      </c>
      <c r="X57" s="495">
        <v>3</v>
      </c>
      <c r="Y57" s="496">
        <f t="shared" si="24"/>
        <v>46275</v>
      </c>
      <c r="Z57" s="497">
        <v>20</v>
      </c>
      <c r="AA57" s="583">
        <f t="shared" si="36"/>
        <v>4</v>
      </c>
      <c r="AB57" s="499">
        <v>-3</v>
      </c>
      <c r="AC57" s="500"/>
      <c r="AD57" s="501">
        <f t="shared" si="37"/>
        <v>0</v>
      </c>
      <c r="AE57" s="502">
        <v>0</v>
      </c>
      <c r="AF57" s="501">
        <f t="shared" si="25"/>
        <v>231228.1506112671</v>
      </c>
      <c r="AG57" s="501">
        <f t="shared" si="4"/>
        <v>189033.12024074138</v>
      </c>
      <c r="AH57" s="501">
        <f t="shared" si="38"/>
        <v>164998.39258964383</v>
      </c>
      <c r="AI57" s="501">
        <f t="shared" si="39"/>
        <v>57221.68730922242</v>
      </c>
      <c r="AJ57" s="501">
        <f t="shared" si="7"/>
        <v>31211.78658540337</v>
      </c>
      <c r="AK57" s="501">
        <f t="shared" si="46"/>
        <v>126501499.75044422</v>
      </c>
      <c r="AL57" s="501">
        <f t="shared" si="27"/>
        <v>0</v>
      </c>
      <c r="AM57" s="502"/>
      <c r="AN57" s="502">
        <v>126501499.75044422</v>
      </c>
      <c r="AO57" s="502"/>
      <c r="AP57" s="502"/>
      <c r="AQ57" s="502"/>
      <c r="AR57" s="501">
        <f t="shared" si="40"/>
        <v>2632254465.9705725</v>
      </c>
      <c r="AS57" s="501">
        <f t="shared" si="41"/>
        <v>1886449033.9455769</v>
      </c>
      <c r="AT57" s="502">
        <v>43870907.766176209</v>
      </c>
      <c r="AU57" s="503">
        <f t="shared" si="28"/>
        <v>31440817.232426282</v>
      </c>
      <c r="AV57" s="501">
        <f t="shared" si="42"/>
        <v>1435773191.8385272</v>
      </c>
      <c r="AW57" s="504">
        <f t="shared" si="43"/>
        <v>1435773191.8385272</v>
      </c>
      <c r="AX57" s="502">
        <v>23929553.19730879</v>
      </c>
      <c r="AY57" s="501">
        <f t="shared" si="12"/>
        <v>88433.4738946258</v>
      </c>
      <c r="AZ57" s="501">
        <f t="shared" si="13"/>
        <v>67800460.963485003</v>
      </c>
      <c r="BA57" s="505">
        <f t="shared" si="44"/>
        <v>15</v>
      </c>
      <c r="BB57" s="506">
        <v>24.577012917007728</v>
      </c>
      <c r="BC57" s="507" t="s">
        <v>1808</v>
      </c>
      <c r="BD57" s="455" t="s">
        <v>1789</v>
      </c>
      <c r="BE57" s="508">
        <v>45637</v>
      </c>
      <c r="BF57" s="509">
        <f t="shared" si="15"/>
        <v>45637</v>
      </c>
      <c r="BG57" s="486" t="s">
        <v>1790</v>
      </c>
      <c r="BH57" s="510" t="s">
        <v>1791</v>
      </c>
      <c r="BI57" s="511">
        <v>0.19</v>
      </c>
      <c r="BJ57" s="512" t="s">
        <v>1820</v>
      </c>
      <c r="BK57" s="513">
        <v>10</v>
      </c>
      <c r="BL57" s="514"/>
      <c r="BM57" s="514"/>
      <c r="BN57" s="515" t="s">
        <v>1794</v>
      </c>
      <c r="BO57" s="516"/>
      <c r="BP57" s="516"/>
    </row>
    <row r="58" spans="3:68" ht="40.15" customHeight="1" outlineLevel="1">
      <c r="C58" s="2608"/>
      <c r="D58" s="2613">
        <v>19</v>
      </c>
      <c r="E58" s="485">
        <v>1</v>
      </c>
      <c r="F58" s="485" t="s">
        <v>1786</v>
      </c>
      <c r="G58" s="486" t="s">
        <v>656</v>
      </c>
      <c r="H58" s="487">
        <v>971.74</v>
      </c>
      <c r="I58" s="488">
        <f t="shared" si="16"/>
        <v>293.95134999999999</v>
      </c>
      <c r="J58" s="489">
        <v>368.66</v>
      </c>
      <c r="K58" s="488">
        <f t="shared" si="17"/>
        <v>111.51965</v>
      </c>
      <c r="L58" s="490">
        <f t="shared" si="47"/>
        <v>0.37938131598987385</v>
      </c>
      <c r="M58" s="455">
        <v>44541</v>
      </c>
      <c r="N58" s="455">
        <v>44541</v>
      </c>
      <c r="O58" s="455">
        <v>46366</v>
      </c>
      <c r="P58" s="574">
        <f t="shared" si="48"/>
        <v>5</v>
      </c>
      <c r="Q58" s="492">
        <f t="shared" si="20"/>
        <v>60</v>
      </c>
      <c r="R58" s="493">
        <f t="shared" si="45"/>
        <v>30</v>
      </c>
      <c r="S58" s="494">
        <f t="shared" si="34"/>
        <v>2.3589041095890413</v>
      </c>
      <c r="T58" s="455">
        <v>45636</v>
      </c>
      <c r="U58" s="574">
        <f t="shared" si="49"/>
        <v>3</v>
      </c>
      <c r="V58" s="492">
        <f t="shared" si="50"/>
        <v>36</v>
      </c>
      <c r="W58" s="492">
        <f t="shared" si="1"/>
        <v>6</v>
      </c>
      <c r="X58" s="495">
        <v>3</v>
      </c>
      <c r="Y58" s="496">
        <f t="shared" si="24"/>
        <v>46275</v>
      </c>
      <c r="Z58" s="497">
        <v>20</v>
      </c>
      <c r="AA58" s="583">
        <f t="shared" si="36"/>
        <v>4</v>
      </c>
      <c r="AB58" s="499">
        <v>-3</v>
      </c>
      <c r="AC58" s="500"/>
      <c r="AD58" s="501">
        <f t="shared" si="37"/>
        <v>0</v>
      </c>
      <c r="AE58" s="502">
        <v>0</v>
      </c>
      <c r="AF58" s="501">
        <f t="shared" si="25"/>
        <v>234186.46657462514</v>
      </c>
      <c r="AG58" s="501">
        <f t="shared" si="4"/>
        <v>191451.59608692717</v>
      </c>
      <c r="AH58" s="501">
        <f t="shared" si="38"/>
        <v>164998.39258964383</v>
      </c>
      <c r="AI58" s="501">
        <f t="shared" si="39"/>
        <v>57221.687309222412</v>
      </c>
      <c r="AJ58" s="501">
        <f t="shared" si="7"/>
        <v>31211.78658540337</v>
      </c>
      <c r="AK58" s="501">
        <f t="shared" si="46"/>
        <v>48501500.249555796</v>
      </c>
      <c r="AL58" s="501">
        <f t="shared" si="27"/>
        <v>0</v>
      </c>
      <c r="AM58" s="502"/>
      <c r="AN58" s="502">
        <v>48501500.249555796</v>
      </c>
      <c r="AO58" s="502"/>
      <c r="AP58" s="502"/>
      <c r="AQ58" s="502"/>
      <c r="AR58" s="501">
        <f t="shared" si="40"/>
        <v>1009223534.0294276</v>
      </c>
      <c r="AS58" s="501">
        <f t="shared" si="41"/>
        <v>723276866.05442321</v>
      </c>
      <c r="AT58" s="502">
        <v>16820392.233823795</v>
      </c>
      <c r="AU58" s="503">
        <f t="shared" si="28"/>
        <v>12054614.434240388</v>
      </c>
      <c r="AV58" s="501">
        <f t="shared" si="42"/>
        <v>550484808.16147256</v>
      </c>
      <c r="AW58" s="504">
        <f t="shared" si="43"/>
        <v>550484808.16147256</v>
      </c>
      <c r="AX58" s="502">
        <v>9174746.8026912101</v>
      </c>
      <c r="AY58" s="501">
        <f t="shared" si="12"/>
        <v>88433.473894625786</v>
      </c>
      <c r="AZ58" s="503">
        <f t="shared" si="13"/>
        <v>25995139.036515005</v>
      </c>
      <c r="BA58" s="505">
        <f t="shared" si="44"/>
        <v>6</v>
      </c>
      <c r="BB58" s="506">
        <v>9.4229870829922753</v>
      </c>
      <c r="BC58" s="507" t="s">
        <v>1808</v>
      </c>
      <c r="BD58" s="455" t="s">
        <v>1789</v>
      </c>
      <c r="BE58" s="508">
        <v>45637</v>
      </c>
      <c r="BF58" s="509">
        <f t="shared" si="15"/>
        <v>45637</v>
      </c>
      <c r="BG58" s="486" t="s">
        <v>1790</v>
      </c>
      <c r="BH58" s="510" t="s">
        <v>1791</v>
      </c>
      <c r="BI58" s="511">
        <v>0.19</v>
      </c>
      <c r="BJ58" s="512" t="s">
        <v>1820</v>
      </c>
      <c r="BK58" s="513">
        <v>10</v>
      </c>
      <c r="BL58" s="514"/>
      <c r="BM58" s="514"/>
      <c r="BN58" s="515" t="s">
        <v>1794</v>
      </c>
      <c r="BO58" s="516"/>
      <c r="BP58" s="516"/>
    </row>
    <row r="59" spans="3:68" ht="40.15" customHeight="1" outlineLevel="1">
      <c r="C59" s="2608"/>
      <c r="D59" s="2614"/>
      <c r="E59" s="485">
        <v>2</v>
      </c>
      <c r="F59" s="485" t="s">
        <v>1786</v>
      </c>
      <c r="G59" s="486" t="s">
        <v>1696</v>
      </c>
      <c r="H59" s="487">
        <v>499.72</v>
      </c>
      <c r="I59" s="488">
        <f t="shared" si="16"/>
        <v>151.1653</v>
      </c>
      <c r="J59" s="489">
        <v>189.59</v>
      </c>
      <c r="K59" s="488">
        <f t="shared" si="17"/>
        <v>57.350974999999998</v>
      </c>
      <c r="L59" s="490">
        <f t="shared" si="47"/>
        <v>0.37939245977747538</v>
      </c>
      <c r="M59" s="455">
        <v>43306</v>
      </c>
      <c r="N59" s="455">
        <v>45139</v>
      </c>
      <c r="O59" s="455">
        <v>46234</v>
      </c>
      <c r="P59" s="574">
        <f t="shared" si="48"/>
        <v>3</v>
      </c>
      <c r="Q59" s="492">
        <f t="shared" si="20"/>
        <v>36</v>
      </c>
      <c r="R59" s="493">
        <f t="shared" si="45"/>
        <v>26</v>
      </c>
      <c r="S59" s="494">
        <f t="shared" si="34"/>
        <v>1.9972602739726026</v>
      </c>
      <c r="T59" s="455">
        <v>45504</v>
      </c>
      <c r="U59" s="574">
        <f t="shared" si="49"/>
        <v>1</v>
      </c>
      <c r="V59" s="492">
        <f t="shared" si="50"/>
        <v>12</v>
      </c>
      <c r="W59" s="492">
        <f t="shared" si="1"/>
        <v>2</v>
      </c>
      <c r="X59" s="495">
        <v>3</v>
      </c>
      <c r="Y59" s="496">
        <f t="shared" si="24"/>
        <v>46142</v>
      </c>
      <c r="Z59" s="497">
        <v>9</v>
      </c>
      <c r="AA59" s="583">
        <f t="shared" si="36"/>
        <v>3</v>
      </c>
      <c r="AB59" s="499">
        <v>0</v>
      </c>
      <c r="AC59" s="500"/>
      <c r="AD59" s="501">
        <f t="shared" si="37"/>
        <v>0</v>
      </c>
      <c r="AE59" s="502">
        <v>0</v>
      </c>
      <c r="AF59" s="501">
        <f t="shared" si="25"/>
        <v>257133.37916225489</v>
      </c>
      <c r="AG59" s="501">
        <f t="shared" si="4"/>
        <v>217034.23525057771</v>
      </c>
      <c r="AH59" s="501">
        <f t="shared" si="38"/>
        <v>499982.46952177514</v>
      </c>
      <c r="AI59" s="501">
        <f t="shared" si="39"/>
        <v>60853.251374488718</v>
      </c>
      <c r="AJ59" s="501">
        <f t="shared" si="7"/>
        <v>35451.25766296895</v>
      </c>
      <c r="AK59" s="501">
        <f t="shared" si="46"/>
        <v>75580000</v>
      </c>
      <c r="AL59" s="501">
        <f t="shared" si="27"/>
        <v>0</v>
      </c>
      <c r="AM59" s="502">
        <v>75580000</v>
      </c>
      <c r="AN59" s="502"/>
      <c r="AO59" s="502"/>
      <c r="AP59" s="502"/>
      <c r="AQ59" s="502"/>
      <c r="AR59" s="501">
        <f t="shared" si="40"/>
        <v>331160400</v>
      </c>
      <c r="AS59" s="501">
        <f t="shared" si="41"/>
        <v>248370299.99999997</v>
      </c>
      <c r="AT59" s="502">
        <v>9198900</v>
      </c>
      <c r="AU59" s="503">
        <f t="shared" si="28"/>
        <v>6899174.9999999991</v>
      </c>
      <c r="AV59" s="501">
        <f t="shared" si="42"/>
        <v>192924000.00000003</v>
      </c>
      <c r="AW59" s="504">
        <f t="shared" si="43"/>
        <v>192924000.00000003</v>
      </c>
      <c r="AX59" s="502">
        <v>5359000</v>
      </c>
      <c r="AY59" s="501">
        <f t="shared" si="12"/>
        <v>96304.509037457668</v>
      </c>
      <c r="AZ59" s="501">
        <f t="shared" si="13"/>
        <v>14557900</v>
      </c>
      <c r="BA59" s="505">
        <f t="shared" si="44"/>
        <v>3</v>
      </c>
      <c r="BB59" s="506">
        <v>3</v>
      </c>
      <c r="BC59" s="507" t="s">
        <v>1811</v>
      </c>
      <c r="BD59" s="455" t="s">
        <v>1789</v>
      </c>
      <c r="BE59" s="508">
        <v>45505</v>
      </c>
      <c r="BF59" s="509">
        <f t="shared" si="15"/>
        <v>45505</v>
      </c>
      <c r="BG59" s="486" t="s">
        <v>1844</v>
      </c>
      <c r="BH59" s="510" t="s">
        <v>1791</v>
      </c>
      <c r="BI59" s="511">
        <v>0.19</v>
      </c>
      <c r="BJ59" s="512" t="s">
        <v>1845</v>
      </c>
      <c r="BK59" s="513">
        <v>10</v>
      </c>
      <c r="BL59" s="514"/>
      <c r="BM59" s="514"/>
      <c r="BN59" s="515" t="s">
        <v>1794</v>
      </c>
      <c r="BO59" s="516"/>
      <c r="BP59" s="516"/>
    </row>
    <row r="60" spans="3:68" ht="40.15" customHeight="1" outlineLevel="1">
      <c r="C60" s="2608"/>
      <c r="D60" s="2614"/>
      <c r="E60" s="485">
        <v>3</v>
      </c>
      <c r="F60" s="485" t="s">
        <v>1786</v>
      </c>
      <c r="G60" s="486" t="s">
        <v>1696</v>
      </c>
      <c r="H60" s="487">
        <v>425.82</v>
      </c>
      <c r="I60" s="488">
        <f t="shared" si="16"/>
        <v>128.81055000000001</v>
      </c>
      <c r="J60" s="489">
        <v>161.55000000000001</v>
      </c>
      <c r="K60" s="488">
        <f t="shared" si="17"/>
        <v>48.868875000000003</v>
      </c>
      <c r="L60" s="490">
        <f t="shared" si="47"/>
        <v>0.37938565591094831</v>
      </c>
      <c r="M60" s="455">
        <v>43306</v>
      </c>
      <c r="N60" s="455">
        <v>45139</v>
      </c>
      <c r="O60" s="455">
        <v>46234</v>
      </c>
      <c r="P60" s="574">
        <f t="shared" si="48"/>
        <v>3</v>
      </c>
      <c r="Q60" s="492">
        <f t="shared" si="20"/>
        <v>36</v>
      </c>
      <c r="R60" s="493">
        <f t="shared" si="45"/>
        <v>26</v>
      </c>
      <c r="S60" s="494">
        <f t="shared" si="34"/>
        <v>1.9972602739726024</v>
      </c>
      <c r="T60" s="455">
        <v>45504</v>
      </c>
      <c r="U60" s="574">
        <f t="shared" si="49"/>
        <v>1</v>
      </c>
      <c r="V60" s="492">
        <f t="shared" si="50"/>
        <v>12</v>
      </c>
      <c r="W60" s="492">
        <v>3</v>
      </c>
      <c r="X60" s="495">
        <v>3</v>
      </c>
      <c r="Y60" s="496">
        <f t="shared" si="24"/>
        <v>46142</v>
      </c>
      <c r="Z60" s="497">
        <v>9</v>
      </c>
      <c r="AA60" s="583">
        <f t="shared" si="36"/>
        <v>3</v>
      </c>
      <c r="AB60" s="499">
        <v>0</v>
      </c>
      <c r="AC60" s="500"/>
      <c r="AD60" s="501">
        <f t="shared" si="37"/>
        <v>0</v>
      </c>
      <c r="AE60" s="502">
        <v>0</v>
      </c>
      <c r="AF60" s="501">
        <f t="shared" si="25"/>
        <v>268389.92610327125</v>
      </c>
      <c r="AG60" s="501">
        <f t="shared" si="4"/>
        <v>225560.00624119135</v>
      </c>
      <c r="AH60" s="501">
        <f t="shared" si="38"/>
        <v>549997.6515898736</v>
      </c>
      <c r="AI60" s="501">
        <f t="shared" si="39"/>
        <v>64996.228957954139</v>
      </c>
      <c r="AJ60" s="501">
        <f t="shared" si="7"/>
        <v>35452.065067651674</v>
      </c>
      <c r="AK60" s="501">
        <f t="shared" si="46"/>
        <v>70845500</v>
      </c>
      <c r="AL60" s="501">
        <f t="shared" si="27"/>
        <v>0</v>
      </c>
      <c r="AM60" s="502">
        <v>70845500</v>
      </c>
      <c r="AN60" s="502"/>
      <c r="AO60" s="502"/>
      <c r="AP60" s="502"/>
      <c r="AQ60" s="502"/>
      <c r="AR60" s="501">
        <f t="shared" si="40"/>
        <v>301399200</v>
      </c>
      <c r="AS60" s="501">
        <f t="shared" si="41"/>
        <v>226049400</v>
      </c>
      <c r="AT60" s="502">
        <v>8372200</v>
      </c>
      <c r="AU60" s="503">
        <f t="shared" si="28"/>
        <v>6279150</v>
      </c>
      <c r="AV60" s="501">
        <f t="shared" si="42"/>
        <v>164397599.99999997</v>
      </c>
      <c r="AW60" s="504">
        <f t="shared" si="43"/>
        <v>164397599.99999997</v>
      </c>
      <c r="AX60" s="502">
        <v>4566600</v>
      </c>
      <c r="AY60" s="501">
        <f t="shared" si="12"/>
        <v>100448.29402560582</v>
      </c>
      <c r="AZ60" s="501">
        <f t="shared" si="13"/>
        <v>12938800</v>
      </c>
      <c r="BA60" s="505">
        <f t="shared" si="44"/>
        <v>3</v>
      </c>
      <c r="BB60" s="506">
        <v>3</v>
      </c>
      <c r="BC60" s="507" t="s">
        <v>1811</v>
      </c>
      <c r="BD60" s="455" t="s">
        <v>1789</v>
      </c>
      <c r="BE60" s="508">
        <v>45505</v>
      </c>
      <c r="BF60" s="509">
        <f t="shared" si="15"/>
        <v>45505</v>
      </c>
      <c r="BG60" s="486" t="s">
        <v>1844</v>
      </c>
      <c r="BH60" s="510" t="s">
        <v>1791</v>
      </c>
      <c r="BI60" s="511">
        <v>0.19</v>
      </c>
      <c r="BJ60" s="512" t="s">
        <v>1845</v>
      </c>
      <c r="BK60" s="513">
        <v>10</v>
      </c>
      <c r="BL60" s="514"/>
      <c r="BM60" s="514"/>
      <c r="BN60" s="515" t="s">
        <v>1794</v>
      </c>
      <c r="BO60" s="516"/>
      <c r="BP60" s="516"/>
    </row>
    <row r="61" spans="3:68" ht="40.15" customHeight="1" outlineLevel="1">
      <c r="C61" s="2608"/>
      <c r="D61" s="2614"/>
      <c r="E61" s="485">
        <v>4</v>
      </c>
      <c r="F61" s="485" t="s">
        <v>1786</v>
      </c>
      <c r="G61" s="486" t="s">
        <v>1696</v>
      </c>
      <c r="H61" s="487">
        <v>476.81</v>
      </c>
      <c r="I61" s="488">
        <f t="shared" si="16"/>
        <v>144.23502500000001</v>
      </c>
      <c r="J61" s="489">
        <v>180.89</v>
      </c>
      <c r="K61" s="488">
        <f t="shared" si="17"/>
        <v>54.719224999999994</v>
      </c>
      <c r="L61" s="490">
        <f t="shared" si="47"/>
        <v>0.37937543256223649</v>
      </c>
      <c r="M61" s="455">
        <v>43960</v>
      </c>
      <c r="N61" s="455">
        <v>45078</v>
      </c>
      <c r="O61" s="455">
        <v>46234</v>
      </c>
      <c r="P61" s="574">
        <f t="shared" si="48"/>
        <v>3.1666666666666665</v>
      </c>
      <c r="Q61" s="492">
        <f t="shared" si="20"/>
        <v>38</v>
      </c>
      <c r="R61" s="493">
        <f t="shared" si="45"/>
        <v>26</v>
      </c>
      <c r="S61" s="494">
        <f t="shared" si="34"/>
        <v>1.9972602739726026</v>
      </c>
      <c r="T61" s="455">
        <v>45443</v>
      </c>
      <c r="U61" s="574">
        <f t="shared" si="49"/>
        <v>1</v>
      </c>
      <c r="V61" s="492">
        <f t="shared" si="50"/>
        <v>12</v>
      </c>
      <c r="W61" s="492">
        <f t="shared" si="1"/>
        <v>0</v>
      </c>
      <c r="X61" s="495">
        <v>3</v>
      </c>
      <c r="Y61" s="496">
        <f t="shared" si="24"/>
        <v>46142</v>
      </c>
      <c r="Z61" s="497">
        <v>9</v>
      </c>
      <c r="AA61" s="583">
        <f t="shared" si="36"/>
        <v>2.8421052631578947</v>
      </c>
      <c r="AB61" s="499">
        <v>0</v>
      </c>
      <c r="AC61" s="500"/>
      <c r="AD61" s="501">
        <f t="shared" si="37"/>
        <v>0</v>
      </c>
      <c r="AE61" s="502">
        <v>0</v>
      </c>
      <c r="AF61" s="501">
        <f t="shared" si="25"/>
        <v>261591.65265955427</v>
      </c>
      <c r="AG61" s="501">
        <f t="shared" si="4"/>
        <v>222835.90985569853</v>
      </c>
      <c r="AH61" s="501">
        <f t="shared" si="38"/>
        <v>509980.1521856428</v>
      </c>
      <c r="AI61" s="501">
        <f t="shared" si="39"/>
        <v>62079.234915375091</v>
      </c>
      <c r="AJ61" s="501">
        <f t="shared" si="7"/>
        <v>35887.261086549537</v>
      </c>
      <c r="AK61" s="501">
        <f t="shared" si="46"/>
        <v>73557000</v>
      </c>
      <c r="AL61" s="501">
        <f t="shared" si="27"/>
        <v>0</v>
      </c>
      <c r="AM61" s="502">
        <v>73557000</v>
      </c>
      <c r="AN61" s="502"/>
      <c r="AO61" s="502"/>
      <c r="AP61" s="502"/>
      <c r="AQ61" s="502"/>
      <c r="AR61" s="501">
        <f t="shared" si="40"/>
        <v>340251999.99999994</v>
      </c>
      <c r="AS61" s="501">
        <f t="shared" si="41"/>
        <v>259666000</v>
      </c>
      <c r="AT61" s="502">
        <v>8954000</v>
      </c>
      <c r="AU61" s="503">
        <f t="shared" si="28"/>
        <v>6833315.7894736845</v>
      </c>
      <c r="AV61" s="501">
        <f t="shared" si="42"/>
        <v>196695599.99999997</v>
      </c>
      <c r="AW61" s="504">
        <f t="shared" si="43"/>
        <v>196695599.99999997</v>
      </c>
      <c r="AX61" s="502">
        <v>5176200</v>
      </c>
      <c r="AY61" s="501">
        <f t="shared" si="12"/>
        <v>97966.496001924635</v>
      </c>
      <c r="AZ61" s="501">
        <f t="shared" si="13"/>
        <v>14130200</v>
      </c>
      <c r="BA61" s="505">
        <f t="shared" si="44"/>
        <v>3</v>
      </c>
      <c r="BB61" s="506">
        <v>4</v>
      </c>
      <c r="BC61" s="507" t="s">
        <v>1811</v>
      </c>
      <c r="BD61" s="455" t="s">
        <v>1789</v>
      </c>
      <c r="BE61" s="508">
        <v>45809</v>
      </c>
      <c r="BF61" s="509">
        <f t="shared" si="15"/>
        <v>45809</v>
      </c>
      <c r="BG61" s="486" t="s">
        <v>1844</v>
      </c>
      <c r="BH61" s="510" t="s">
        <v>1791</v>
      </c>
      <c r="BI61" s="511">
        <v>0.19</v>
      </c>
      <c r="BJ61" s="512" t="s">
        <v>1846</v>
      </c>
      <c r="BK61" s="513">
        <v>10</v>
      </c>
      <c r="BL61" s="514"/>
      <c r="BM61" s="514"/>
      <c r="BN61" s="515" t="s">
        <v>1794</v>
      </c>
      <c r="BO61" s="516"/>
      <c r="BP61" s="516"/>
    </row>
    <row r="62" spans="3:68" ht="40.15" customHeight="1" outlineLevel="1">
      <c r="C62" s="2608"/>
      <c r="D62" s="2615"/>
      <c r="E62" s="485">
        <v>5</v>
      </c>
      <c r="F62" s="485" t="s">
        <v>1786</v>
      </c>
      <c r="G62" s="486" t="s">
        <v>1847</v>
      </c>
      <c r="H62" s="487">
        <v>173.66</v>
      </c>
      <c r="I62" s="488">
        <f t="shared" si="16"/>
        <v>52.532149999999994</v>
      </c>
      <c r="J62" s="489">
        <v>65.88</v>
      </c>
      <c r="K62" s="488">
        <f t="shared" si="17"/>
        <v>19.928699999999999</v>
      </c>
      <c r="L62" s="490">
        <f t="shared" si="47"/>
        <v>0.37936197166877805</v>
      </c>
      <c r="M62" s="455">
        <v>43780</v>
      </c>
      <c r="N62" s="455">
        <v>44876</v>
      </c>
      <c r="O62" s="455">
        <v>45971</v>
      </c>
      <c r="P62" s="574">
        <f t="shared" si="48"/>
        <v>3</v>
      </c>
      <c r="Q62" s="492">
        <f t="shared" si="20"/>
        <v>36</v>
      </c>
      <c r="R62" s="493">
        <f t="shared" si="45"/>
        <v>17</v>
      </c>
      <c r="S62" s="494">
        <f t="shared" si="34"/>
        <v>1.2767123287671234</v>
      </c>
      <c r="T62" s="455"/>
      <c r="U62" s="574"/>
      <c r="V62" s="492"/>
      <c r="W62" s="492" t="str">
        <f t="shared" si="1"/>
        <v>만료</v>
      </c>
      <c r="X62" s="495">
        <v>3</v>
      </c>
      <c r="Y62" s="496">
        <f t="shared" si="24"/>
        <v>45879</v>
      </c>
      <c r="Z62" s="497">
        <v>4.5</v>
      </c>
      <c r="AA62" s="583">
        <f t="shared" si="36"/>
        <v>1.5</v>
      </c>
      <c r="AB62" s="499">
        <v>0</v>
      </c>
      <c r="AC62" s="500"/>
      <c r="AD62" s="501">
        <f t="shared" si="37"/>
        <v>0</v>
      </c>
      <c r="AE62" s="502">
        <v>0</v>
      </c>
      <c r="AF62" s="501">
        <f t="shared" si="25"/>
        <v>257195.02526507</v>
      </c>
      <c r="AG62" s="501">
        <f t="shared" si="4"/>
        <v>237323.55848600261</v>
      </c>
      <c r="AH62" s="501">
        <f t="shared" si="38"/>
        <v>499979.53634107881</v>
      </c>
      <c r="AI62" s="501">
        <f t="shared" si="39"/>
        <v>60307.830538060982</v>
      </c>
      <c r="AJ62" s="501">
        <f t="shared" si="7"/>
        <v>36012.232509044465</v>
      </c>
      <c r="AK62" s="501">
        <f t="shared" si="46"/>
        <v>26265000</v>
      </c>
      <c r="AL62" s="501">
        <f t="shared" si="27"/>
        <v>0</v>
      </c>
      <c r="AM62" s="502">
        <v>26265000</v>
      </c>
      <c r="AN62" s="502"/>
      <c r="AO62" s="502"/>
      <c r="AP62" s="502"/>
      <c r="AQ62" s="502"/>
      <c r="AR62" s="501">
        <f t="shared" si="40"/>
        <v>114051600</v>
      </c>
      <c r="AS62" s="501">
        <f t="shared" si="41"/>
        <v>99795150</v>
      </c>
      <c r="AT62" s="502">
        <v>3168100</v>
      </c>
      <c r="AU62" s="503">
        <f t="shared" si="28"/>
        <v>2772087.5</v>
      </c>
      <c r="AV62" s="501">
        <f t="shared" si="42"/>
        <v>68104800</v>
      </c>
      <c r="AW62" s="504">
        <f t="shared" si="43"/>
        <v>68104800</v>
      </c>
      <c r="AX62" s="502">
        <v>1891800</v>
      </c>
      <c r="AY62" s="501">
        <f t="shared" si="12"/>
        <v>96320.063047105446</v>
      </c>
      <c r="AZ62" s="501">
        <f t="shared" si="13"/>
        <v>5059900</v>
      </c>
      <c r="BA62" s="505">
        <f t="shared" si="44"/>
        <v>1</v>
      </c>
      <c r="BB62" s="506">
        <v>1</v>
      </c>
      <c r="BC62" s="507" t="s">
        <v>1848</v>
      </c>
      <c r="BD62" s="455" t="s">
        <v>1789</v>
      </c>
      <c r="BE62" s="508">
        <v>45607</v>
      </c>
      <c r="BF62" s="509">
        <f t="shared" si="15"/>
        <v>45607</v>
      </c>
      <c r="BG62" s="486" t="s">
        <v>1790</v>
      </c>
      <c r="BH62" s="510" t="s">
        <v>1791</v>
      </c>
      <c r="BI62" s="511">
        <v>0.19</v>
      </c>
      <c r="BJ62" s="512" t="s">
        <v>1849</v>
      </c>
      <c r="BK62" s="513">
        <v>10</v>
      </c>
      <c r="BL62" s="514"/>
      <c r="BM62" s="514"/>
      <c r="BN62" s="515" t="s">
        <v>1794</v>
      </c>
      <c r="BO62" s="516"/>
      <c r="BP62" s="516"/>
    </row>
    <row r="63" spans="3:68" ht="30" customHeight="1">
      <c r="C63" s="2608"/>
      <c r="D63" s="534"/>
      <c r="E63" s="535"/>
      <c r="F63" s="536"/>
      <c r="G63" s="537" t="s">
        <v>1722</v>
      </c>
      <c r="H63" s="538">
        <f>H65-H64</f>
        <v>25121.580000000005</v>
      </c>
      <c r="I63" s="538">
        <f t="shared" ref="I63:K63" si="51">I65-I64</f>
        <v>7599.2779499999997</v>
      </c>
      <c r="J63" s="538">
        <f t="shared" si="51"/>
        <v>9571.5799999999981</v>
      </c>
      <c r="K63" s="538">
        <f t="shared" si="51"/>
        <v>2895.4029499999997</v>
      </c>
      <c r="L63" s="539">
        <f>J63/H63</f>
        <v>0.38101027085079825</v>
      </c>
      <c r="M63" s="540"/>
      <c r="N63" s="586"/>
      <c r="O63" s="586"/>
      <c r="P63" s="542"/>
      <c r="Q63" s="543"/>
      <c r="R63" s="544"/>
      <c r="S63" s="545"/>
      <c r="T63" s="546"/>
      <c r="U63" s="544"/>
      <c r="V63" s="544"/>
      <c r="W63" s="543"/>
      <c r="X63" s="543"/>
      <c r="Y63" s="547"/>
      <c r="Z63" s="548"/>
      <c r="AA63" s="548"/>
      <c r="AB63" s="549"/>
      <c r="AC63" s="550"/>
      <c r="AD63" s="551">
        <f t="shared" si="37"/>
        <v>0</v>
      </c>
      <c r="AE63" s="553">
        <f>SUM(AE37:AE62)</f>
        <v>0</v>
      </c>
      <c r="AF63" s="551"/>
      <c r="AG63" s="551"/>
      <c r="AH63" s="551">
        <f t="shared" si="38"/>
        <v>650364.960314914</v>
      </c>
      <c r="AI63" s="551">
        <f>AT63/$I$63</f>
        <v>55771.060145269039</v>
      </c>
      <c r="AJ63" s="551">
        <f>AX63/$I$63</f>
        <v>33404.869562214248</v>
      </c>
      <c r="AK63" s="553">
        <f>SUM(AK37:AK62)</f>
        <v>4942304102.3737507</v>
      </c>
      <c r="AL63" s="553">
        <f t="shared" ref="AL63:AQ63" si="52">SUM(AL37:AL62)</f>
        <v>0</v>
      </c>
      <c r="AM63" s="553">
        <f t="shared" si="52"/>
        <v>4732296502.3737507</v>
      </c>
      <c r="AN63" s="553">
        <f t="shared" si="52"/>
        <v>210007600.00000003</v>
      </c>
      <c r="AO63" s="553">
        <f t="shared" si="52"/>
        <v>0</v>
      </c>
      <c r="AP63" s="553">
        <f t="shared" si="52"/>
        <v>0</v>
      </c>
      <c r="AQ63" s="553">
        <f t="shared" si="52"/>
        <v>0</v>
      </c>
      <c r="AR63" s="551">
        <f>SUM(AR37:AR62)</f>
        <v>19710933096.604008</v>
      </c>
      <c r="AS63" s="551">
        <f>SUM(AS37:AS62)</f>
        <v>14776173121.975245</v>
      </c>
      <c r="AT63" s="553">
        <f t="shared" ref="AT63:AU63" si="53">SUM(AT37:AT62)</f>
        <v>423819787.61006677</v>
      </c>
      <c r="AU63" s="553">
        <f t="shared" si="53"/>
        <v>323347580.91625029</v>
      </c>
      <c r="AV63" s="551">
        <f>SUM(AV37:AV62)</f>
        <v>11709087445.205652</v>
      </c>
      <c r="AW63" s="551">
        <f>SUM(AW37:AW62)</f>
        <v>11774858461.872318</v>
      </c>
      <c r="AX63" s="553">
        <f t="shared" ref="AX63" si="54">SUM(AX37:AX62)</f>
        <v>253852888.6867609</v>
      </c>
      <c r="AY63" s="551">
        <f>AZ63/$I$63</f>
        <v>89175.929707483287</v>
      </c>
      <c r="AZ63" s="553">
        <f t="shared" ref="AZ63:BB63" si="55">SUM(AZ37:AZ62)</f>
        <v>677672676.29682767</v>
      </c>
      <c r="BA63" s="554">
        <f t="shared" si="55"/>
        <v>154</v>
      </c>
      <c r="BB63" s="554">
        <f t="shared" si="55"/>
        <v>178.46346750739698</v>
      </c>
      <c r="BC63" s="551"/>
      <c r="BD63" s="540"/>
      <c r="BE63" s="555"/>
      <c r="BF63" s="556"/>
      <c r="BG63" s="537"/>
      <c r="BH63" s="557"/>
      <c r="BI63" s="558"/>
      <c r="BJ63" s="559"/>
      <c r="BK63" s="560"/>
      <c r="BL63" s="557"/>
      <c r="BM63" s="557"/>
      <c r="BN63" s="541"/>
      <c r="BO63" s="561"/>
      <c r="BP63" s="561"/>
    </row>
    <row r="64" spans="3:68" ht="30" customHeight="1">
      <c r="C64" s="2608"/>
      <c r="D64" s="562" t="s">
        <v>1817</v>
      </c>
      <c r="E64" s="563"/>
      <c r="F64" s="564"/>
      <c r="G64" s="537" t="s">
        <v>470</v>
      </c>
      <c r="H64" s="538">
        <f>SUMIF($G$37:$G$62,$G$64,H37:H62)</f>
        <v>0</v>
      </c>
      <c r="I64" s="538">
        <f>SUMIF($G$37:$G$62,$G$64,I37:I62)</f>
        <v>0</v>
      </c>
      <c r="J64" s="538">
        <f>SUMIF($G$37:$G$62,$G$64,J37:J62)</f>
        <v>0</v>
      </c>
      <c r="K64" s="538">
        <f>SUMIF($G$37:$G$62,$G$64,K37:K62)</f>
        <v>0</v>
      </c>
      <c r="L64" s="539" t="e">
        <f t="shared" ref="L64:L65" si="56">J64/H64</f>
        <v>#DIV/0!</v>
      </c>
      <c r="M64" s="540"/>
      <c r="N64" s="541"/>
      <c r="O64" s="541"/>
      <c r="P64" s="542"/>
      <c r="Q64" s="543"/>
      <c r="R64" s="544"/>
      <c r="S64" s="544"/>
      <c r="T64" s="546"/>
      <c r="U64" s="544"/>
      <c r="V64" s="544"/>
      <c r="W64" s="543"/>
      <c r="X64" s="543"/>
      <c r="Y64" s="547"/>
      <c r="Z64" s="548"/>
      <c r="AA64" s="548"/>
      <c r="AB64" s="549"/>
      <c r="AC64" s="550"/>
      <c r="AD64" s="551"/>
      <c r="AE64" s="552"/>
      <c r="AF64" s="551"/>
      <c r="AG64" s="551"/>
      <c r="AH64" s="551"/>
      <c r="AI64" s="551"/>
      <c r="AJ64" s="551"/>
      <c r="AK64" s="551"/>
      <c r="AL64" s="551"/>
      <c r="AM64" s="552"/>
      <c r="AN64" s="552"/>
      <c r="AO64" s="552"/>
      <c r="AP64" s="552"/>
      <c r="AQ64" s="552"/>
      <c r="AR64" s="551"/>
      <c r="AS64" s="551"/>
      <c r="AT64" s="552"/>
      <c r="AU64" s="553"/>
      <c r="AV64" s="551"/>
      <c r="AW64" s="565"/>
      <c r="AX64" s="552"/>
      <c r="AY64" s="551"/>
      <c r="AZ64" s="551"/>
      <c r="BA64" s="566"/>
      <c r="BB64" s="567"/>
      <c r="BC64" s="551"/>
      <c r="BD64" s="540"/>
      <c r="BE64" s="555"/>
      <c r="BF64" s="556"/>
      <c r="BG64" s="537"/>
      <c r="BH64" s="557"/>
      <c r="BI64" s="558"/>
      <c r="BJ64" s="559"/>
      <c r="BK64" s="560"/>
      <c r="BL64" s="557"/>
      <c r="BM64" s="557"/>
      <c r="BN64" s="541"/>
      <c r="BO64" s="561"/>
      <c r="BP64" s="561"/>
    </row>
    <row r="65" spans="3:68" ht="30" customHeight="1">
      <c r="C65" s="2609"/>
      <c r="D65" s="2022"/>
      <c r="E65" s="2023"/>
      <c r="F65" s="2024"/>
      <c r="G65" s="537" t="s">
        <v>1850</v>
      </c>
      <c r="H65" s="538">
        <f>SUM(H37:H62)</f>
        <v>25121.580000000005</v>
      </c>
      <c r="I65" s="538">
        <f>SUM(I37:I62)</f>
        <v>7599.2779499999997</v>
      </c>
      <c r="J65" s="538">
        <f>SUM(J37:J62)</f>
        <v>9571.5799999999981</v>
      </c>
      <c r="K65" s="538">
        <f>SUM(K37:K62)</f>
        <v>2895.4029499999997</v>
      </c>
      <c r="L65" s="539">
        <f t="shared" si="56"/>
        <v>0.38101027085079825</v>
      </c>
      <c r="M65" s="540"/>
      <c r="N65" s="541"/>
      <c r="O65" s="541"/>
      <c r="P65" s="542"/>
      <c r="Q65" s="543"/>
      <c r="R65" s="544"/>
      <c r="S65" s="544"/>
      <c r="T65" s="546"/>
      <c r="U65" s="544"/>
      <c r="V65" s="544"/>
      <c r="W65" s="543"/>
      <c r="X65" s="543"/>
      <c r="Y65" s="547"/>
      <c r="Z65" s="548"/>
      <c r="AA65" s="548"/>
      <c r="AB65" s="549"/>
      <c r="AC65" s="550"/>
      <c r="AD65" s="551"/>
      <c r="AE65" s="552"/>
      <c r="AF65" s="551"/>
      <c r="AG65" s="551"/>
      <c r="AH65" s="551"/>
      <c r="AI65" s="551"/>
      <c r="AJ65" s="551"/>
      <c r="AK65" s="551"/>
      <c r="AL65" s="551"/>
      <c r="AM65" s="552"/>
      <c r="AN65" s="552"/>
      <c r="AO65" s="552"/>
      <c r="AP65" s="552"/>
      <c r="AQ65" s="552"/>
      <c r="AR65" s="551"/>
      <c r="AS65" s="551"/>
      <c r="AT65" s="552"/>
      <c r="AU65" s="553"/>
      <c r="AV65" s="551"/>
      <c r="AW65" s="565"/>
      <c r="AX65" s="552"/>
      <c r="AY65" s="551"/>
      <c r="AZ65" s="551"/>
      <c r="BA65" s="566"/>
      <c r="BB65" s="567"/>
      <c r="BC65" s="551"/>
      <c r="BD65" s="540"/>
      <c r="BE65" s="555"/>
      <c r="BF65" s="556"/>
      <c r="BG65" s="537"/>
      <c r="BH65" s="557"/>
      <c r="BI65" s="558"/>
      <c r="BJ65" s="559"/>
      <c r="BK65" s="560"/>
      <c r="BL65" s="557"/>
      <c r="BM65" s="557"/>
      <c r="BN65" s="541"/>
      <c r="BO65" s="561"/>
      <c r="BP65" s="561"/>
    </row>
    <row r="66" spans="3:68" ht="40.15" customHeight="1" outlineLevel="1">
      <c r="C66" s="2608" t="s">
        <v>1851</v>
      </c>
      <c r="D66" s="571">
        <v>18</v>
      </c>
      <c r="E66" s="571"/>
      <c r="F66" s="571" t="s">
        <v>1786</v>
      </c>
      <c r="G66" s="572" t="s">
        <v>1852</v>
      </c>
      <c r="H66" s="573">
        <v>2544.83</v>
      </c>
      <c r="I66" s="2005">
        <f t="shared" si="16"/>
        <v>769.81107499999996</v>
      </c>
      <c r="J66" s="2006">
        <v>1143.77</v>
      </c>
      <c r="K66" s="2005">
        <f t="shared" si="17"/>
        <v>345.99042499999996</v>
      </c>
      <c r="L66" s="2007">
        <f>J66/H66</f>
        <v>0.44944848968300438</v>
      </c>
      <c r="M66" s="581"/>
      <c r="N66" s="581">
        <v>45004</v>
      </c>
      <c r="O66" s="581">
        <v>46099</v>
      </c>
      <c r="P66" s="574">
        <f>Q66/$P$1</f>
        <v>3</v>
      </c>
      <c r="Q66" s="2008">
        <f t="shared" si="20"/>
        <v>36</v>
      </c>
      <c r="R66" s="2009">
        <f t="shared" ref="R66:R104" si="57">IFERROR(DATEDIF($R$1,O66,"m"),0)</f>
        <v>22</v>
      </c>
      <c r="S66" s="2010">
        <f t="shared" ref="S66:S104" si="58">(O66-$G$4)*$H66/$H66/$S$1</f>
        <v>1.6273972602739726</v>
      </c>
      <c r="T66" s="581">
        <v>46099</v>
      </c>
      <c r="U66" s="574">
        <f>V66/$P$1</f>
        <v>3</v>
      </c>
      <c r="V66" s="2008">
        <f t="shared" ref="V66:V82" si="59">DATEDIF(N66,T66,"m")+1</f>
        <v>36</v>
      </c>
      <c r="W66" s="2008">
        <f t="shared" si="1"/>
        <v>22</v>
      </c>
      <c r="X66" s="568">
        <v>3</v>
      </c>
      <c r="Y66" s="569">
        <f t="shared" si="24"/>
        <v>46009</v>
      </c>
      <c r="Z66" s="575">
        <v>12</v>
      </c>
      <c r="AA66" s="2025">
        <f t="shared" ref="AA66:AA104" si="60">Z66/Q66*12</f>
        <v>4</v>
      </c>
      <c r="AB66" s="2011">
        <v>0</v>
      </c>
      <c r="AC66" s="576"/>
      <c r="AD66" s="570">
        <f t="shared" ref="AD66:AD110" si="61">AE66/K66</f>
        <v>0</v>
      </c>
      <c r="AE66" s="577">
        <v>0</v>
      </c>
      <c r="AF66" s="570">
        <f t="shared" si="25"/>
        <v>217773.68948949696</v>
      </c>
      <c r="AG66" s="570">
        <f t="shared" si="4"/>
        <v>171961.31045084438</v>
      </c>
      <c r="AH66" s="570">
        <f t="shared" ref="AH66:AH105" si="62">AK66/I66</f>
        <v>192568.90745605604</v>
      </c>
      <c r="AI66" s="570">
        <f t="shared" ref="AI66:AI104" si="63">AT66/I66</f>
        <v>61770.913703123217</v>
      </c>
      <c r="AJ66" s="570">
        <f t="shared" ref="AJ66:AJ104" si="64">AX66/I66</f>
        <v>35625.719861986618</v>
      </c>
      <c r="AK66" s="570">
        <f t="shared" ref="AK66:AK104" si="65">SUM(AL66,AM66,AN66)</f>
        <v>148241677.66032201</v>
      </c>
      <c r="AL66" s="570">
        <f t="shared" si="27"/>
        <v>0</v>
      </c>
      <c r="AM66" s="577">
        <v>148241677.66032201</v>
      </c>
      <c r="AN66" s="577"/>
      <c r="AO66" s="577"/>
      <c r="AP66" s="577"/>
      <c r="AQ66" s="577"/>
      <c r="AR66" s="570">
        <f t="shared" ref="AR66:AR104" si="66">Q66*I66*AI66</f>
        <v>1711869605.3352063</v>
      </c>
      <c r="AS66" s="570">
        <f t="shared" ref="AS66:AS104" si="67">(Q66-Z66-AB66)*I66*AI66</f>
        <v>1141246403.5568042</v>
      </c>
      <c r="AT66" s="577">
        <v>47551933.481533512</v>
      </c>
      <c r="AU66" s="578">
        <f t="shared" si="28"/>
        <v>31701288.987689003</v>
      </c>
      <c r="AV66" s="570">
        <f t="shared" ref="AV66:AV104" si="68">Q66*I66*AJ66</f>
        <v>987302653.36577165</v>
      </c>
      <c r="AW66" s="579">
        <f t="shared" ref="AW66:AW104" si="69">(Q66-AC66)*I66*AJ66</f>
        <v>987302653.36577165</v>
      </c>
      <c r="AX66" s="577">
        <v>27425073.704604767</v>
      </c>
      <c r="AY66" s="570">
        <f t="shared" ref="AY66:AY104" si="70">AZ66/I66</f>
        <v>97396.63356510982</v>
      </c>
      <c r="AZ66" s="570">
        <f t="shared" ref="AZ66:AZ107" si="71">SUM(AT66,AX66)</f>
        <v>74977007.186138272</v>
      </c>
      <c r="BA66" s="2012">
        <f t="shared" ref="BA66:BA104" si="72">ROUND(I66/$BA$1,)</f>
        <v>15</v>
      </c>
      <c r="BB66" s="580">
        <v>23.253596495736744</v>
      </c>
      <c r="BC66" s="2013" t="s">
        <v>1853</v>
      </c>
      <c r="BD66" s="581" t="s">
        <v>1789</v>
      </c>
      <c r="BE66" s="2014">
        <v>45735</v>
      </c>
      <c r="BF66" s="2015">
        <f t="shared" si="15"/>
        <v>45735</v>
      </c>
      <c r="BG66" s="572" t="s">
        <v>1790</v>
      </c>
      <c r="BH66" s="2016" t="s">
        <v>1791</v>
      </c>
      <c r="BI66" s="2017">
        <v>0.19</v>
      </c>
      <c r="BJ66" s="2018" t="s">
        <v>1854</v>
      </c>
      <c r="BK66" s="2019">
        <v>10</v>
      </c>
      <c r="BL66" s="2026" t="s">
        <v>1855</v>
      </c>
      <c r="BM66" s="2016" t="s">
        <v>1856</v>
      </c>
      <c r="BN66" s="2020" t="s">
        <v>1794</v>
      </c>
      <c r="BO66" s="516"/>
      <c r="BP66" s="516"/>
    </row>
    <row r="67" spans="3:68" ht="40.15" customHeight="1" outlineLevel="1">
      <c r="C67" s="2608"/>
      <c r="D67" s="485">
        <v>17</v>
      </c>
      <c r="E67" s="485"/>
      <c r="F67" s="485" t="s">
        <v>1786</v>
      </c>
      <c r="G67" s="486" t="s">
        <v>1857</v>
      </c>
      <c r="H67" s="487">
        <v>2544.86</v>
      </c>
      <c r="I67" s="488">
        <f t="shared" si="16"/>
        <v>769.82015000000001</v>
      </c>
      <c r="J67" s="489">
        <v>966.57</v>
      </c>
      <c r="K67" s="488">
        <f t="shared" si="17"/>
        <v>292.38742500000001</v>
      </c>
      <c r="L67" s="490">
        <f t="shared" ref="L67:L104" si="73">J67/H67</f>
        <v>0.37981264195279896</v>
      </c>
      <c r="M67" s="455">
        <v>43488</v>
      </c>
      <c r="N67" s="455">
        <v>44584</v>
      </c>
      <c r="O67" s="455">
        <v>46409</v>
      </c>
      <c r="P67" s="491">
        <f t="shared" ref="P67:P104" si="74">Q67/$P$1</f>
        <v>5</v>
      </c>
      <c r="Q67" s="492">
        <f t="shared" si="20"/>
        <v>60</v>
      </c>
      <c r="R67" s="493">
        <f t="shared" si="57"/>
        <v>32</v>
      </c>
      <c r="S67" s="494">
        <f t="shared" si="58"/>
        <v>2.4767123287671229</v>
      </c>
      <c r="T67" s="455">
        <v>45679</v>
      </c>
      <c r="U67" s="491">
        <f t="shared" ref="U67:U104" si="75">V67/$P$1</f>
        <v>3</v>
      </c>
      <c r="V67" s="492">
        <f t="shared" si="59"/>
        <v>36</v>
      </c>
      <c r="W67" s="492">
        <f t="shared" si="1"/>
        <v>8</v>
      </c>
      <c r="X67" s="495">
        <v>3</v>
      </c>
      <c r="Y67" s="496">
        <f t="shared" si="24"/>
        <v>46317</v>
      </c>
      <c r="Z67" s="497">
        <v>20</v>
      </c>
      <c r="AA67" s="583">
        <f t="shared" si="60"/>
        <v>4</v>
      </c>
      <c r="AB67" s="499">
        <v>0</v>
      </c>
      <c r="AC67" s="500"/>
      <c r="AD67" s="501">
        <f t="shared" si="61"/>
        <v>0</v>
      </c>
      <c r="AE67" s="502"/>
      <c r="AF67" s="501">
        <f t="shared" si="25"/>
        <v>237686.51302291814</v>
      </c>
      <c r="AG67" s="501">
        <f t="shared" si="4"/>
        <v>188885.85068253192</v>
      </c>
      <c r="AH67" s="501">
        <f t="shared" si="62"/>
        <v>158763.0565398944</v>
      </c>
      <c r="AI67" s="501">
        <f t="shared" si="63"/>
        <v>55605.325477645652</v>
      </c>
      <c r="AJ67" s="501">
        <f t="shared" si="64"/>
        <v>34274.109348787504</v>
      </c>
      <c r="AK67" s="501">
        <f t="shared" si="65"/>
        <v>122219000</v>
      </c>
      <c r="AL67" s="501">
        <f t="shared" si="27"/>
        <v>0</v>
      </c>
      <c r="AM67" s="502">
        <v>122219000</v>
      </c>
      <c r="AN67" s="502"/>
      <c r="AO67" s="502"/>
      <c r="AP67" s="502"/>
      <c r="AQ67" s="502"/>
      <c r="AR67" s="501">
        <f t="shared" si="66"/>
        <v>2568366000</v>
      </c>
      <c r="AS67" s="501">
        <f t="shared" si="67"/>
        <v>1712244000</v>
      </c>
      <c r="AT67" s="502">
        <v>42806100</v>
      </c>
      <c r="AU67" s="503">
        <f t="shared" si="28"/>
        <v>28537400</v>
      </c>
      <c r="AV67" s="501">
        <f t="shared" si="68"/>
        <v>1583094000</v>
      </c>
      <c r="AW67" s="504">
        <f t="shared" si="69"/>
        <v>1583094000</v>
      </c>
      <c r="AX67" s="502">
        <v>26384900</v>
      </c>
      <c r="AY67" s="501">
        <f t="shared" si="70"/>
        <v>89879.434826433164</v>
      </c>
      <c r="AZ67" s="501">
        <f t="shared" si="71"/>
        <v>69191000</v>
      </c>
      <c r="BA67" s="505">
        <f t="shared" si="72"/>
        <v>15</v>
      </c>
      <c r="BB67" s="506">
        <v>16</v>
      </c>
      <c r="BC67" s="507" t="s">
        <v>1858</v>
      </c>
      <c r="BD67" s="455" t="s">
        <v>1789</v>
      </c>
      <c r="BE67" s="508">
        <v>45680</v>
      </c>
      <c r="BF67" s="509">
        <f t="shared" si="15"/>
        <v>45680</v>
      </c>
      <c r="BG67" s="486" t="s">
        <v>1790</v>
      </c>
      <c r="BH67" s="510" t="s">
        <v>1791</v>
      </c>
      <c r="BI67" s="511"/>
      <c r="BJ67" s="512" t="s">
        <v>1859</v>
      </c>
      <c r="BK67" s="513">
        <v>10</v>
      </c>
      <c r="BL67" s="514"/>
      <c r="BM67" s="514"/>
      <c r="BN67" s="515"/>
      <c r="BO67" s="516"/>
      <c r="BP67" s="516"/>
    </row>
    <row r="68" spans="3:68" ht="40.15" customHeight="1" outlineLevel="1">
      <c r="C68" s="2608"/>
      <c r="D68" s="2610">
        <v>16</v>
      </c>
      <c r="E68" s="485">
        <v>1</v>
      </c>
      <c r="F68" s="485" t="s">
        <v>1786</v>
      </c>
      <c r="G68" s="486" t="s">
        <v>1860</v>
      </c>
      <c r="H68" s="487">
        <v>897.9</v>
      </c>
      <c r="I68" s="488">
        <f t="shared" si="16"/>
        <v>271.61474999999996</v>
      </c>
      <c r="J68" s="489">
        <v>330.26</v>
      </c>
      <c r="K68" s="488">
        <f t="shared" si="17"/>
        <v>99.903649999999999</v>
      </c>
      <c r="L68" s="490">
        <f t="shared" si="73"/>
        <v>0.36781378772691836</v>
      </c>
      <c r="M68" s="455">
        <v>43760</v>
      </c>
      <c r="N68" s="455">
        <v>43760</v>
      </c>
      <c r="O68" s="455">
        <v>45586</v>
      </c>
      <c r="P68" s="491">
        <f t="shared" si="74"/>
        <v>5</v>
      </c>
      <c r="Q68" s="492">
        <f t="shared" si="20"/>
        <v>60</v>
      </c>
      <c r="R68" s="493">
        <f t="shared" si="57"/>
        <v>5</v>
      </c>
      <c r="S68" s="494">
        <f t="shared" si="58"/>
        <v>0.22191780821917809</v>
      </c>
      <c r="T68" s="455">
        <v>44855</v>
      </c>
      <c r="U68" s="491">
        <f t="shared" si="75"/>
        <v>3</v>
      </c>
      <c r="V68" s="492">
        <f t="shared" si="59"/>
        <v>36</v>
      </c>
      <c r="W68" s="492" t="str">
        <f t="shared" si="1"/>
        <v>만료</v>
      </c>
      <c r="X68" s="495">
        <v>3</v>
      </c>
      <c r="Y68" s="496">
        <f t="shared" si="24"/>
        <v>45494</v>
      </c>
      <c r="Z68" s="497">
        <v>20</v>
      </c>
      <c r="AA68" s="583">
        <f t="shared" si="60"/>
        <v>4</v>
      </c>
      <c r="AB68" s="499">
        <v>3</v>
      </c>
      <c r="AC68" s="500"/>
      <c r="AD68" s="501">
        <f t="shared" si="61"/>
        <v>0</v>
      </c>
      <c r="AE68" s="502">
        <v>0</v>
      </c>
      <c r="AF68" s="501">
        <f t="shared" si="25"/>
        <v>248971.52156102404</v>
      </c>
      <c r="AG68" s="501">
        <f t="shared" si="4"/>
        <v>188143.84743033245</v>
      </c>
      <c r="AH68" s="501">
        <f t="shared" si="62"/>
        <v>549990.3815974649</v>
      </c>
      <c r="AI68" s="501">
        <f t="shared" si="63"/>
        <v>58365.018836421819</v>
      </c>
      <c r="AJ68" s="501">
        <f t="shared" si="64"/>
        <v>31835.163591078912</v>
      </c>
      <c r="AK68" s="501">
        <f t="shared" si="65"/>
        <v>149385500</v>
      </c>
      <c r="AL68" s="501">
        <f t="shared" si="27"/>
        <v>0</v>
      </c>
      <c r="AM68" s="502"/>
      <c r="AN68" s="502">
        <v>149385500</v>
      </c>
      <c r="AO68" s="502"/>
      <c r="AP68" s="502"/>
      <c r="AQ68" s="502"/>
      <c r="AR68" s="501">
        <f t="shared" si="66"/>
        <v>951168000.00000012</v>
      </c>
      <c r="AS68" s="501">
        <f t="shared" si="67"/>
        <v>586553600</v>
      </c>
      <c r="AT68" s="502">
        <v>15852800</v>
      </c>
      <c r="AU68" s="503">
        <f t="shared" si="28"/>
        <v>9775893.333333334</v>
      </c>
      <c r="AV68" s="501">
        <f t="shared" si="68"/>
        <v>518814000</v>
      </c>
      <c r="AW68" s="504">
        <f t="shared" si="69"/>
        <v>518814000</v>
      </c>
      <c r="AX68" s="502">
        <v>8646900</v>
      </c>
      <c r="AY68" s="501">
        <f t="shared" si="70"/>
        <v>90200.182427500724</v>
      </c>
      <c r="AZ68" s="501">
        <f t="shared" si="71"/>
        <v>24499700</v>
      </c>
      <c r="BA68" s="505">
        <f t="shared" si="72"/>
        <v>5</v>
      </c>
      <c r="BB68" s="506">
        <v>5</v>
      </c>
      <c r="BC68" s="507" t="s">
        <v>1861</v>
      </c>
      <c r="BD68" s="455" t="s">
        <v>1789</v>
      </c>
      <c r="BE68" s="508"/>
      <c r="BF68" s="509">
        <f t="shared" si="15"/>
        <v>0</v>
      </c>
      <c r="BG68" s="486" t="s">
        <v>1790</v>
      </c>
      <c r="BH68" s="510" t="s">
        <v>1791</v>
      </c>
      <c r="BI68" s="511">
        <v>0.19</v>
      </c>
      <c r="BJ68" s="512" t="s">
        <v>1862</v>
      </c>
      <c r="BK68" s="513">
        <v>10</v>
      </c>
      <c r="BL68" s="514"/>
      <c r="BM68" s="514"/>
      <c r="BN68" s="515" t="s">
        <v>1794</v>
      </c>
      <c r="BO68" s="516"/>
      <c r="BP68" s="516"/>
    </row>
    <row r="69" spans="3:68" ht="40.15" customHeight="1" outlineLevel="1">
      <c r="C69" s="2608"/>
      <c r="D69" s="2611"/>
      <c r="E69" s="485">
        <v>2</v>
      </c>
      <c r="F69" s="485" t="s">
        <v>1786</v>
      </c>
      <c r="G69" s="486" t="s">
        <v>1863</v>
      </c>
      <c r="H69" s="487">
        <v>762</v>
      </c>
      <c r="I69" s="488">
        <f t="shared" si="16"/>
        <v>230.505</v>
      </c>
      <c r="J69" s="489">
        <v>280.26</v>
      </c>
      <c r="K69" s="488">
        <f t="shared" si="17"/>
        <v>84.778649999999999</v>
      </c>
      <c r="L69" s="490">
        <f t="shared" si="73"/>
        <v>0.3677952755905512</v>
      </c>
      <c r="M69" s="455">
        <v>43922</v>
      </c>
      <c r="N69" s="455">
        <v>45017</v>
      </c>
      <c r="O69" s="455">
        <v>46843</v>
      </c>
      <c r="P69" s="491">
        <f t="shared" si="74"/>
        <v>5</v>
      </c>
      <c r="Q69" s="492">
        <f t="shared" si="20"/>
        <v>60</v>
      </c>
      <c r="R69" s="493">
        <f t="shared" si="57"/>
        <v>46</v>
      </c>
      <c r="S69" s="494">
        <f t="shared" si="58"/>
        <v>3.6657534246575341</v>
      </c>
      <c r="T69" s="455">
        <v>45382</v>
      </c>
      <c r="U69" s="491">
        <f t="shared" si="75"/>
        <v>1</v>
      </c>
      <c r="V69" s="492">
        <f t="shared" si="59"/>
        <v>12</v>
      </c>
      <c r="W69" s="492" t="str">
        <f t="shared" si="1"/>
        <v>만료</v>
      </c>
      <c r="X69" s="495">
        <v>3</v>
      </c>
      <c r="Y69" s="496">
        <f t="shared" si="24"/>
        <v>46752</v>
      </c>
      <c r="Z69" s="497">
        <v>20</v>
      </c>
      <c r="AA69" s="583">
        <f t="shared" si="60"/>
        <v>4</v>
      </c>
      <c r="AB69" s="499">
        <v>0</v>
      </c>
      <c r="AC69" s="500"/>
      <c r="AD69" s="501">
        <f t="shared" si="61"/>
        <v>0</v>
      </c>
      <c r="AE69" s="502">
        <v>0</v>
      </c>
      <c r="AF69" s="501">
        <f t="shared" si="25"/>
        <v>277267.92063803802</v>
      </c>
      <c r="AG69" s="501">
        <f t="shared" si="4"/>
        <v>217057.79304891819</v>
      </c>
      <c r="AH69" s="501">
        <f t="shared" si="62"/>
        <v>0</v>
      </c>
      <c r="AI69" s="501">
        <f t="shared" si="63"/>
        <v>66435.001409947727</v>
      </c>
      <c r="AJ69" s="501">
        <f t="shared" si="64"/>
        <v>35542.829873538532</v>
      </c>
      <c r="AK69" s="501">
        <f t="shared" si="65"/>
        <v>0</v>
      </c>
      <c r="AL69" s="501">
        <f t="shared" si="27"/>
        <v>0</v>
      </c>
      <c r="AM69" s="502"/>
      <c r="AN69" s="502"/>
      <c r="AO69" s="502"/>
      <c r="AP69" s="502"/>
      <c r="AQ69" s="502"/>
      <c r="AR69" s="501">
        <f t="shared" si="66"/>
        <v>918816000</v>
      </c>
      <c r="AS69" s="501">
        <f t="shared" si="67"/>
        <v>612544000.00000012</v>
      </c>
      <c r="AT69" s="502">
        <v>15313600</v>
      </c>
      <c r="AU69" s="503">
        <f t="shared" si="28"/>
        <v>10209066.666666668</v>
      </c>
      <c r="AV69" s="501">
        <f t="shared" si="68"/>
        <v>491567999.99999994</v>
      </c>
      <c r="AW69" s="504">
        <f t="shared" si="69"/>
        <v>491567999.99999994</v>
      </c>
      <c r="AX69" s="502">
        <v>8192800</v>
      </c>
      <c r="AY69" s="501">
        <f t="shared" si="70"/>
        <v>101977.83128348626</v>
      </c>
      <c r="AZ69" s="501">
        <f t="shared" si="71"/>
        <v>23506400</v>
      </c>
      <c r="BA69" s="505">
        <f t="shared" si="72"/>
        <v>5</v>
      </c>
      <c r="BB69" s="506">
        <v>5</v>
      </c>
      <c r="BC69" s="507" t="s">
        <v>1864</v>
      </c>
      <c r="BD69" s="455" t="s">
        <v>1789</v>
      </c>
      <c r="BE69" s="508">
        <v>45748</v>
      </c>
      <c r="BF69" s="509">
        <f t="shared" si="15"/>
        <v>45748</v>
      </c>
      <c r="BG69" s="486" t="s">
        <v>1790</v>
      </c>
      <c r="BH69" s="510" t="s">
        <v>1791</v>
      </c>
      <c r="BI69" s="511">
        <v>0.19</v>
      </c>
      <c r="BJ69" s="512" t="s">
        <v>1865</v>
      </c>
      <c r="BK69" s="513">
        <v>10</v>
      </c>
      <c r="BL69" s="514"/>
      <c r="BM69" s="514"/>
      <c r="BN69" s="515" t="s">
        <v>1794</v>
      </c>
      <c r="BO69" s="516"/>
      <c r="BP69" s="516"/>
    </row>
    <row r="70" spans="3:68" ht="40.15" customHeight="1" outlineLevel="1">
      <c r="C70" s="2608"/>
      <c r="D70" s="485">
        <v>15</v>
      </c>
      <c r="E70" s="485"/>
      <c r="F70" s="485" t="s">
        <v>1786</v>
      </c>
      <c r="G70" s="486" t="s">
        <v>1863</v>
      </c>
      <c r="H70" s="487">
        <v>2553.04</v>
      </c>
      <c r="I70" s="488">
        <f t="shared" si="16"/>
        <v>772.29459999999995</v>
      </c>
      <c r="J70" s="489">
        <f>820.23+146.34</f>
        <v>966.57</v>
      </c>
      <c r="K70" s="488">
        <f t="shared" si="17"/>
        <v>292.38742500000001</v>
      </c>
      <c r="L70" s="490">
        <f t="shared" si="73"/>
        <v>0.37859571334565856</v>
      </c>
      <c r="M70" s="455">
        <v>43922</v>
      </c>
      <c r="N70" s="455">
        <v>45017</v>
      </c>
      <c r="O70" s="455">
        <v>46843</v>
      </c>
      <c r="P70" s="491">
        <f t="shared" si="74"/>
        <v>5</v>
      </c>
      <c r="Q70" s="492">
        <f t="shared" si="20"/>
        <v>60</v>
      </c>
      <c r="R70" s="493">
        <f t="shared" si="57"/>
        <v>46</v>
      </c>
      <c r="S70" s="494">
        <f t="shared" si="58"/>
        <v>3.6657534246575341</v>
      </c>
      <c r="T70" s="455">
        <v>45382</v>
      </c>
      <c r="U70" s="491">
        <f t="shared" si="75"/>
        <v>1</v>
      </c>
      <c r="V70" s="492">
        <f t="shared" si="59"/>
        <v>12</v>
      </c>
      <c r="W70" s="492" t="str">
        <f t="shared" si="1"/>
        <v>만료</v>
      </c>
      <c r="X70" s="495">
        <v>3</v>
      </c>
      <c r="Y70" s="496">
        <f t="shared" si="24"/>
        <v>46752</v>
      </c>
      <c r="Z70" s="497">
        <v>20</v>
      </c>
      <c r="AA70" s="583">
        <f t="shared" si="60"/>
        <v>4</v>
      </c>
      <c r="AB70" s="499">
        <v>0</v>
      </c>
      <c r="AC70" s="500"/>
      <c r="AD70" s="501">
        <f t="shared" si="61"/>
        <v>0</v>
      </c>
      <c r="AE70" s="502">
        <v>0</v>
      </c>
      <c r="AF70" s="501">
        <f t="shared" si="25"/>
        <v>275478.17762682511</v>
      </c>
      <c r="AG70" s="501">
        <f t="shared" si="4"/>
        <v>214486.04250564697</v>
      </c>
      <c r="AH70" s="501">
        <f t="shared" si="62"/>
        <v>509160.62342013011</v>
      </c>
      <c r="AI70" s="501">
        <f t="shared" si="63"/>
        <v>69274.082714031669</v>
      </c>
      <c r="AJ70" s="501">
        <f t="shared" si="64"/>
        <v>33747.872897207882</v>
      </c>
      <c r="AK70" s="501">
        <f t="shared" si="65"/>
        <v>393222000</v>
      </c>
      <c r="AL70" s="501">
        <f t="shared" si="27"/>
        <v>0</v>
      </c>
      <c r="AM70" s="502"/>
      <c r="AN70" s="502">
        <v>393222000</v>
      </c>
      <c r="AO70" s="502"/>
      <c r="AP70" s="502"/>
      <c r="AQ70" s="502"/>
      <c r="AR70" s="501">
        <f t="shared" si="66"/>
        <v>3210000000</v>
      </c>
      <c r="AS70" s="501">
        <f t="shared" si="67"/>
        <v>2140000000</v>
      </c>
      <c r="AT70" s="502">
        <v>53500000</v>
      </c>
      <c r="AU70" s="503">
        <f t="shared" si="28"/>
        <v>35666666.666666664</v>
      </c>
      <c r="AV70" s="501">
        <f t="shared" si="68"/>
        <v>1563798000.0000002</v>
      </c>
      <c r="AW70" s="504">
        <f t="shared" si="69"/>
        <v>1563798000.0000002</v>
      </c>
      <c r="AX70" s="502">
        <v>26063300</v>
      </c>
      <c r="AY70" s="501">
        <f t="shared" si="70"/>
        <v>103021.95561123955</v>
      </c>
      <c r="AZ70" s="501">
        <f t="shared" si="71"/>
        <v>79563300</v>
      </c>
      <c r="BA70" s="505">
        <f t="shared" si="72"/>
        <v>15</v>
      </c>
      <c r="BB70" s="506">
        <v>15</v>
      </c>
      <c r="BC70" s="507" t="s">
        <v>1864</v>
      </c>
      <c r="BD70" s="455" t="s">
        <v>1789</v>
      </c>
      <c r="BE70" s="508">
        <v>45748</v>
      </c>
      <c r="BF70" s="509">
        <f t="shared" si="15"/>
        <v>45748</v>
      </c>
      <c r="BG70" s="486" t="s">
        <v>1790</v>
      </c>
      <c r="BH70" s="510" t="s">
        <v>1791</v>
      </c>
      <c r="BI70" s="511">
        <v>0.19</v>
      </c>
      <c r="BJ70" s="512" t="s">
        <v>1865</v>
      </c>
      <c r="BK70" s="513">
        <v>10</v>
      </c>
      <c r="BL70" s="514"/>
      <c r="BM70" s="514"/>
      <c r="BN70" s="515" t="s">
        <v>1794</v>
      </c>
      <c r="BO70" s="516"/>
      <c r="BP70" s="516"/>
    </row>
    <row r="71" spans="3:68" ht="40.15" customHeight="1" outlineLevel="1">
      <c r="C71" s="2608"/>
      <c r="D71" s="485">
        <v>14</v>
      </c>
      <c r="E71" s="485"/>
      <c r="F71" s="485" t="s">
        <v>1786</v>
      </c>
      <c r="G71" s="486" t="s">
        <v>1814</v>
      </c>
      <c r="H71" s="487">
        <v>2900.86</v>
      </c>
      <c r="I71" s="488">
        <f t="shared" si="16"/>
        <v>877.51015000000007</v>
      </c>
      <c r="J71" s="489">
        <v>1184.26</v>
      </c>
      <c r="K71" s="488">
        <f t="shared" si="17"/>
        <v>358.23865000000001</v>
      </c>
      <c r="L71" s="490">
        <f t="shared" si="73"/>
        <v>0.4082444516453741</v>
      </c>
      <c r="M71" s="455">
        <v>44348</v>
      </c>
      <c r="N71" s="455">
        <v>44348</v>
      </c>
      <c r="O71" s="455">
        <v>46173</v>
      </c>
      <c r="P71" s="491">
        <f t="shared" si="74"/>
        <v>5</v>
      </c>
      <c r="Q71" s="492">
        <f t="shared" si="20"/>
        <v>60</v>
      </c>
      <c r="R71" s="493">
        <f t="shared" si="57"/>
        <v>24</v>
      </c>
      <c r="S71" s="494">
        <f t="shared" si="58"/>
        <v>1.8301369863013699</v>
      </c>
      <c r="T71" s="455">
        <v>45443</v>
      </c>
      <c r="U71" s="491">
        <f t="shared" si="75"/>
        <v>3</v>
      </c>
      <c r="V71" s="492">
        <f t="shared" si="59"/>
        <v>36</v>
      </c>
      <c r="W71" s="492">
        <f t="shared" si="1"/>
        <v>0</v>
      </c>
      <c r="X71" s="495">
        <v>3</v>
      </c>
      <c r="Y71" s="496">
        <f t="shared" si="24"/>
        <v>46081</v>
      </c>
      <c r="Z71" s="497">
        <v>17</v>
      </c>
      <c r="AA71" s="583">
        <f t="shared" si="60"/>
        <v>3.4</v>
      </c>
      <c r="AB71" s="499">
        <v>0</v>
      </c>
      <c r="AC71" s="500"/>
      <c r="AD71" s="501">
        <f t="shared" si="61"/>
        <v>0</v>
      </c>
      <c r="AE71" s="502">
        <v>0</v>
      </c>
      <c r="AF71" s="501">
        <f t="shared" si="25"/>
        <v>223493.75423070599</v>
      </c>
      <c r="AG71" s="501">
        <f t="shared" si="4"/>
        <v>185276.68230443282</v>
      </c>
      <c r="AH71" s="501">
        <f t="shared" si="62"/>
        <v>879448.87879743613</v>
      </c>
      <c r="AI71" s="501">
        <f t="shared" si="63"/>
        <v>55065.556136587773</v>
      </c>
      <c r="AJ71" s="501">
        <f t="shared" si="64"/>
        <v>33975.90680849921</v>
      </c>
      <c r="AK71" s="501">
        <f t="shared" si="65"/>
        <v>771725317.55087006</v>
      </c>
      <c r="AL71" s="501">
        <f t="shared" si="27"/>
        <v>0</v>
      </c>
      <c r="AM71" s="502">
        <v>771725317.55087006</v>
      </c>
      <c r="AN71" s="502"/>
      <c r="AO71" s="502"/>
      <c r="AP71" s="502"/>
      <c r="AQ71" s="502"/>
      <c r="AR71" s="501">
        <f t="shared" si="66"/>
        <v>2899235065.5150337</v>
      </c>
      <c r="AS71" s="501">
        <f t="shared" si="67"/>
        <v>2077785130.285774</v>
      </c>
      <c r="AT71" s="502">
        <v>48320584.42525056</v>
      </c>
      <c r="AU71" s="503">
        <f t="shared" si="28"/>
        <v>34629752.171429567</v>
      </c>
      <c r="AV71" s="501">
        <f t="shared" si="68"/>
        <v>1788852184.7947299</v>
      </c>
      <c r="AW71" s="504">
        <f t="shared" si="69"/>
        <v>1788852184.7947299</v>
      </c>
      <c r="AX71" s="502">
        <v>29814203.079912163</v>
      </c>
      <c r="AY71" s="501">
        <f t="shared" si="70"/>
        <v>89041.462945086969</v>
      </c>
      <c r="AZ71" s="501">
        <f t="shared" si="71"/>
        <v>78134787.505162716</v>
      </c>
      <c r="BA71" s="505">
        <f t="shared" si="72"/>
        <v>18</v>
      </c>
      <c r="BB71" s="517">
        <v>17.472413816840131</v>
      </c>
      <c r="BC71" s="507" t="s">
        <v>1815</v>
      </c>
      <c r="BD71" s="455" t="s">
        <v>1789</v>
      </c>
      <c r="BE71" s="508">
        <v>45809</v>
      </c>
      <c r="BF71" s="509">
        <f t="shared" si="15"/>
        <v>45809</v>
      </c>
      <c r="BG71" s="486" t="s">
        <v>1790</v>
      </c>
      <c r="BH71" s="510" t="s">
        <v>1791</v>
      </c>
      <c r="BI71" s="511">
        <v>0.19</v>
      </c>
      <c r="BJ71" s="512" t="s">
        <v>1816</v>
      </c>
      <c r="BK71" s="513">
        <v>10</v>
      </c>
      <c r="BL71" s="514"/>
      <c r="BM71" s="514"/>
      <c r="BN71" s="515" t="s">
        <v>1794</v>
      </c>
      <c r="BO71" s="516"/>
      <c r="BP71" s="516"/>
    </row>
    <row r="72" spans="3:68" ht="40.15" customHeight="1" outlineLevel="1">
      <c r="C72" s="2608"/>
      <c r="D72" s="485">
        <v>13</v>
      </c>
      <c r="E72" s="485"/>
      <c r="F72" s="485" t="s">
        <v>1786</v>
      </c>
      <c r="G72" s="486" t="s">
        <v>1795</v>
      </c>
      <c r="H72" s="487">
        <v>2441.9499999999998</v>
      </c>
      <c r="I72" s="488">
        <f t="shared" si="16"/>
        <v>738.68987499999992</v>
      </c>
      <c r="J72" s="489">
        <v>994.16</v>
      </c>
      <c r="K72" s="488">
        <f t="shared" si="17"/>
        <v>300.73339999999996</v>
      </c>
      <c r="L72" s="490">
        <f t="shared" si="73"/>
        <v>0.40711726284321959</v>
      </c>
      <c r="M72" s="455">
        <v>41548</v>
      </c>
      <c r="N72" s="455">
        <v>43831</v>
      </c>
      <c r="O72" s="455">
        <v>45657</v>
      </c>
      <c r="P72" s="491">
        <f t="shared" si="74"/>
        <v>5</v>
      </c>
      <c r="Q72" s="492">
        <f t="shared" si="20"/>
        <v>60</v>
      </c>
      <c r="R72" s="493">
        <f t="shared" si="57"/>
        <v>7</v>
      </c>
      <c r="S72" s="494">
        <f t="shared" si="58"/>
        <v>0.41643835616438357</v>
      </c>
      <c r="T72" s="455">
        <v>45657</v>
      </c>
      <c r="U72" s="491">
        <f t="shared" si="75"/>
        <v>5</v>
      </c>
      <c r="V72" s="492">
        <f t="shared" si="59"/>
        <v>60</v>
      </c>
      <c r="W72" s="492">
        <f t="shared" si="1"/>
        <v>7</v>
      </c>
      <c r="X72" s="495">
        <v>6</v>
      </c>
      <c r="Y72" s="496">
        <f t="shared" si="24"/>
        <v>45473</v>
      </c>
      <c r="Z72" s="497">
        <v>14</v>
      </c>
      <c r="AA72" s="583">
        <f t="shared" si="60"/>
        <v>2.8</v>
      </c>
      <c r="AB72" s="499">
        <v>0</v>
      </c>
      <c r="AC72" s="500"/>
      <c r="AD72" s="501">
        <f t="shared" si="61"/>
        <v>0</v>
      </c>
      <c r="AE72" s="502">
        <v>0</v>
      </c>
      <c r="AF72" s="501">
        <f t="shared" si="25"/>
        <v>216176.93668109662</v>
      </c>
      <c r="AG72" s="501">
        <f t="shared" si="4"/>
        <v>184695.11699382355</v>
      </c>
      <c r="AH72" s="501">
        <f t="shared" si="62"/>
        <v>312643.69395436416</v>
      </c>
      <c r="AI72" s="501">
        <f t="shared" si="63"/>
        <v>54929.109687455944</v>
      </c>
      <c r="AJ72" s="501">
        <f t="shared" si="64"/>
        <v>32298.643829098179</v>
      </c>
      <c r="AK72" s="501">
        <f t="shared" si="65"/>
        <v>230946731.20668751</v>
      </c>
      <c r="AL72" s="501">
        <f t="shared" si="27"/>
        <v>0</v>
      </c>
      <c r="AM72" s="502">
        <v>230946731.20668751</v>
      </c>
      <c r="AN72" s="502"/>
      <c r="AO72" s="502"/>
      <c r="AP72" s="502"/>
      <c r="AQ72" s="502"/>
      <c r="AR72" s="501">
        <f t="shared" si="66"/>
        <v>2434534630.133287</v>
      </c>
      <c r="AS72" s="501">
        <f t="shared" si="67"/>
        <v>1866476549.7688532</v>
      </c>
      <c r="AT72" s="502">
        <v>40575577.168888114</v>
      </c>
      <c r="AU72" s="503">
        <f t="shared" si="28"/>
        <v>31107942.496147554</v>
      </c>
      <c r="AV72" s="501">
        <f t="shared" si="68"/>
        <v>1431520870.3671632</v>
      </c>
      <c r="AW72" s="504">
        <f t="shared" si="69"/>
        <v>1431520870.3671632</v>
      </c>
      <c r="AX72" s="502">
        <v>23858681.172786053</v>
      </c>
      <c r="AY72" s="501">
        <f t="shared" si="70"/>
        <v>87227.753516554119</v>
      </c>
      <c r="AZ72" s="501">
        <f t="shared" si="71"/>
        <v>64434258.341674164</v>
      </c>
      <c r="BA72" s="505">
        <f t="shared" si="72"/>
        <v>15</v>
      </c>
      <c r="BB72" s="517">
        <v>15.177388440619557</v>
      </c>
      <c r="BC72" s="507" t="s">
        <v>1796</v>
      </c>
      <c r="BD72" s="455" t="s">
        <v>1789</v>
      </c>
      <c r="BE72" s="508"/>
      <c r="BF72" s="509">
        <f t="shared" si="15"/>
        <v>0</v>
      </c>
      <c r="BG72" s="486" t="s">
        <v>1790</v>
      </c>
      <c r="BH72" s="510" t="s">
        <v>1791</v>
      </c>
      <c r="BI72" s="511">
        <v>0.19</v>
      </c>
      <c r="BJ72" s="512" t="s">
        <v>1866</v>
      </c>
      <c r="BK72" s="513">
        <v>15</v>
      </c>
      <c r="BL72" s="510" t="s">
        <v>1798</v>
      </c>
      <c r="BM72" s="950" t="s">
        <v>1799</v>
      </c>
      <c r="BN72" s="515" t="s">
        <v>1794</v>
      </c>
      <c r="BO72" s="516"/>
      <c r="BP72" s="516"/>
    </row>
    <row r="73" spans="3:68" ht="40.15" customHeight="1" outlineLevel="1">
      <c r="C73" s="2608"/>
      <c r="D73" s="485">
        <v>12</v>
      </c>
      <c r="E73" s="485"/>
      <c r="F73" s="485" t="s">
        <v>1786</v>
      </c>
      <c r="G73" s="486" t="s">
        <v>1795</v>
      </c>
      <c r="H73" s="487">
        <v>2070.29</v>
      </c>
      <c r="I73" s="488">
        <f t="shared" si="16"/>
        <v>626.26272499999993</v>
      </c>
      <c r="J73" s="489">
        <v>763.32</v>
      </c>
      <c r="K73" s="488">
        <f t="shared" si="17"/>
        <v>230.90430000000001</v>
      </c>
      <c r="L73" s="490">
        <f t="shared" si="73"/>
        <v>0.36870196928932664</v>
      </c>
      <c r="M73" s="455">
        <v>41548</v>
      </c>
      <c r="N73" s="455">
        <v>43831</v>
      </c>
      <c r="O73" s="455">
        <v>45657</v>
      </c>
      <c r="P73" s="491">
        <f t="shared" si="74"/>
        <v>5</v>
      </c>
      <c r="Q73" s="492">
        <f t="shared" si="20"/>
        <v>60</v>
      </c>
      <c r="R73" s="493">
        <f t="shared" si="57"/>
        <v>7</v>
      </c>
      <c r="S73" s="494">
        <f t="shared" si="58"/>
        <v>0.41643835616438357</v>
      </c>
      <c r="T73" s="455">
        <v>45657</v>
      </c>
      <c r="U73" s="491">
        <f t="shared" si="75"/>
        <v>5</v>
      </c>
      <c r="V73" s="492">
        <f t="shared" si="59"/>
        <v>60</v>
      </c>
      <c r="W73" s="492">
        <f t="shared" si="1"/>
        <v>7</v>
      </c>
      <c r="X73" s="495">
        <v>6</v>
      </c>
      <c r="Y73" s="496">
        <f t="shared" si="24"/>
        <v>45473</v>
      </c>
      <c r="Z73" s="497">
        <v>14</v>
      </c>
      <c r="AA73" s="583">
        <f t="shared" si="60"/>
        <v>2.8</v>
      </c>
      <c r="AB73" s="499">
        <v>0</v>
      </c>
      <c r="AC73" s="500"/>
      <c r="AD73" s="501">
        <f t="shared" si="61"/>
        <v>0</v>
      </c>
      <c r="AE73" s="502">
        <v>0</v>
      </c>
      <c r="AF73" s="501">
        <f t="shared" si="25"/>
        <v>238699.47068956791</v>
      </c>
      <c r="AG73" s="501">
        <f t="shared" si="4"/>
        <v>203937.69725033123</v>
      </c>
      <c r="AH73" s="501">
        <f t="shared" si="62"/>
        <v>312642.28067145101</v>
      </c>
      <c r="AI73" s="501">
        <f t="shared" si="63"/>
        <v>54928.861384439908</v>
      </c>
      <c r="AJ73" s="501">
        <f t="shared" si="64"/>
        <v>32298.497825445065</v>
      </c>
      <c r="AK73" s="501">
        <f t="shared" si="65"/>
        <v>195796206.64351773</v>
      </c>
      <c r="AL73" s="501">
        <f t="shared" si="27"/>
        <v>0</v>
      </c>
      <c r="AM73" s="502">
        <v>195796206.64351773</v>
      </c>
      <c r="AN73" s="502"/>
      <c r="AO73" s="502"/>
      <c r="AP73" s="502"/>
      <c r="AQ73" s="502"/>
      <c r="AR73" s="501">
        <f t="shared" si="66"/>
        <v>2063993904.7059963</v>
      </c>
      <c r="AS73" s="501">
        <f t="shared" si="67"/>
        <v>1582395326.9412639</v>
      </c>
      <c r="AT73" s="502">
        <v>34399898.411766604</v>
      </c>
      <c r="AU73" s="503">
        <f t="shared" si="28"/>
        <v>26373255.449021064</v>
      </c>
      <c r="AV73" s="501">
        <f t="shared" si="68"/>
        <v>1213640715.6941879</v>
      </c>
      <c r="AW73" s="504">
        <f t="shared" si="69"/>
        <v>1213640715.6941879</v>
      </c>
      <c r="AX73" s="502">
        <v>20227345.261569798</v>
      </c>
      <c r="AY73" s="501">
        <f t="shared" si="70"/>
        <v>87227.359209884962</v>
      </c>
      <c r="AZ73" s="501">
        <f t="shared" si="71"/>
        <v>54627243.673336402</v>
      </c>
      <c r="BA73" s="505">
        <f t="shared" si="72"/>
        <v>13</v>
      </c>
      <c r="BB73" s="517">
        <v>12.86736152489191</v>
      </c>
      <c r="BC73" s="507" t="s">
        <v>1796</v>
      </c>
      <c r="BD73" s="455" t="s">
        <v>1789</v>
      </c>
      <c r="BE73" s="508"/>
      <c r="BF73" s="509">
        <f t="shared" si="15"/>
        <v>0</v>
      </c>
      <c r="BG73" s="486" t="s">
        <v>1790</v>
      </c>
      <c r="BH73" s="510" t="s">
        <v>1791</v>
      </c>
      <c r="BI73" s="511">
        <v>0.19</v>
      </c>
      <c r="BJ73" s="512" t="s">
        <v>1866</v>
      </c>
      <c r="BK73" s="513">
        <v>15</v>
      </c>
      <c r="BL73" s="510" t="s">
        <v>1798</v>
      </c>
      <c r="BM73" s="950" t="s">
        <v>1799</v>
      </c>
      <c r="BN73" s="515" t="s">
        <v>1794</v>
      </c>
      <c r="BO73" s="516"/>
      <c r="BP73" s="516"/>
    </row>
    <row r="74" spans="3:68" ht="40.15" customHeight="1" outlineLevel="1">
      <c r="C74" s="2608"/>
      <c r="D74" s="2610">
        <v>11</v>
      </c>
      <c r="E74" s="485">
        <v>1</v>
      </c>
      <c r="F74" s="485" t="s">
        <v>1786</v>
      </c>
      <c r="G74" s="486" t="s">
        <v>1867</v>
      </c>
      <c r="H74" s="487">
        <v>481.36</v>
      </c>
      <c r="I74" s="488">
        <f t="shared" si="16"/>
        <v>145.6114</v>
      </c>
      <c r="J74" s="489">
        <v>177.42000000000007</v>
      </c>
      <c r="K74" s="488">
        <f t="shared" si="17"/>
        <v>53.669550000000022</v>
      </c>
      <c r="L74" s="490">
        <f t="shared" si="73"/>
        <v>0.36858068805052363</v>
      </c>
      <c r="M74" s="455">
        <v>44648</v>
      </c>
      <c r="N74" s="455">
        <v>45379</v>
      </c>
      <c r="O74" s="455">
        <v>46108</v>
      </c>
      <c r="P74" s="491">
        <f t="shared" si="74"/>
        <v>2</v>
      </c>
      <c r="Q74" s="492">
        <f t="shared" si="20"/>
        <v>24</v>
      </c>
      <c r="R74" s="493">
        <f t="shared" si="57"/>
        <v>22</v>
      </c>
      <c r="S74" s="494">
        <f t="shared" si="58"/>
        <v>1.6520547945205479</v>
      </c>
      <c r="T74" s="455">
        <v>46108</v>
      </c>
      <c r="U74" s="491">
        <f t="shared" si="75"/>
        <v>2</v>
      </c>
      <c r="V74" s="492">
        <f t="shared" si="59"/>
        <v>24</v>
      </c>
      <c r="W74" s="492">
        <f t="shared" si="1"/>
        <v>22</v>
      </c>
      <c r="X74" s="495">
        <v>3</v>
      </c>
      <c r="Y74" s="496">
        <f t="shared" si="24"/>
        <v>46018</v>
      </c>
      <c r="Z74" s="497">
        <v>4</v>
      </c>
      <c r="AA74" s="583">
        <f t="shared" si="60"/>
        <v>2</v>
      </c>
      <c r="AB74" s="499">
        <v>0</v>
      </c>
      <c r="AC74" s="500"/>
      <c r="AD74" s="501">
        <f t="shared" si="61"/>
        <v>0</v>
      </c>
      <c r="AE74" s="502">
        <v>0</v>
      </c>
      <c r="AF74" s="501">
        <f t="shared" si="25"/>
        <v>257783.97620252069</v>
      </c>
      <c r="AG74" s="501">
        <f t="shared" si="4"/>
        <v>230173.65837177061</v>
      </c>
      <c r="AH74" s="501">
        <f t="shared" si="62"/>
        <v>171003.09453792765</v>
      </c>
      <c r="AI74" s="501">
        <f t="shared" si="63"/>
        <v>61059.77966010903</v>
      </c>
      <c r="AJ74" s="501">
        <f t="shared" si="64"/>
        <v>33526.907920671045</v>
      </c>
      <c r="AK74" s="501">
        <f t="shared" si="65"/>
        <v>24900000</v>
      </c>
      <c r="AL74" s="501">
        <f t="shared" si="27"/>
        <v>0</v>
      </c>
      <c r="AM74" s="502">
        <v>24900000</v>
      </c>
      <c r="AN74" s="502"/>
      <c r="AO74" s="502"/>
      <c r="AP74" s="502"/>
      <c r="AQ74" s="502"/>
      <c r="AR74" s="501">
        <f t="shared" si="66"/>
        <v>213384000</v>
      </c>
      <c r="AS74" s="501">
        <f t="shared" si="67"/>
        <v>177820000</v>
      </c>
      <c r="AT74" s="502">
        <v>8891000</v>
      </c>
      <c r="AU74" s="503">
        <f t="shared" si="28"/>
        <v>7409166.666666667</v>
      </c>
      <c r="AV74" s="501">
        <f t="shared" si="68"/>
        <v>117165600</v>
      </c>
      <c r="AW74" s="504">
        <f t="shared" si="69"/>
        <v>117165600</v>
      </c>
      <c r="AX74" s="502">
        <v>4881900</v>
      </c>
      <c r="AY74" s="501">
        <f t="shared" si="70"/>
        <v>94586.687580780068</v>
      </c>
      <c r="AZ74" s="501">
        <f t="shared" si="71"/>
        <v>13772900</v>
      </c>
      <c r="BA74" s="505">
        <f t="shared" si="72"/>
        <v>3</v>
      </c>
      <c r="BB74" s="506">
        <v>7</v>
      </c>
      <c r="BC74" s="507" t="s">
        <v>1868</v>
      </c>
      <c r="BD74" s="455" t="s">
        <v>1789</v>
      </c>
      <c r="BE74" s="508">
        <v>45744</v>
      </c>
      <c r="BF74" s="509">
        <f t="shared" si="15"/>
        <v>45744</v>
      </c>
      <c r="BG74" s="486" t="s">
        <v>1790</v>
      </c>
      <c r="BH74" s="510" t="s">
        <v>1791</v>
      </c>
      <c r="BI74" s="511">
        <v>0.19</v>
      </c>
      <c r="BJ74" s="512" t="s">
        <v>1869</v>
      </c>
      <c r="BK74" s="513">
        <v>10</v>
      </c>
      <c r="BL74" s="514"/>
      <c r="BM74" s="514"/>
      <c r="BN74" s="515" t="s">
        <v>1794</v>
      </c>
      <c r="BO74" s="516"/>
      <c r="BP74" s="516"/>
    </row>
    <row r="75" spans="3:68" ht="40.15" customHeight="1" outlineLevel="1">
      <c r="C75" s="2608"/>
      <c r="D75" s="2612"/>
      <c r="E75" s="485">
        <v>2</v>
      </c>
      <c r="F75" s="485" t="s">
        <v>1786</v>
      </c>
      <c r="G75" s="486" t="s">
        <v>1870</v>
      </c>
      <c r="H75" s="487">
        <v>1588.66</v>
      </c>
      <c r="I75" s="488">
        <f t="shared" si="16"/>
        <v>480.56965000000002</v>
      </c>
      <c r="J75" s="489">
        <v>585.9</v>
      </c>
      <c r="K75" s="488">
        <f t="shared" si="17"/>
        <v>177.23474999999999</v>
      </c>
      <c r="L75" s="490">
        <f t="shared" si="73"/>
        <v>0.36880137977918492</v>
      </c>
      <c r="M75" s="455">
        <v>44366</v>
      </c>
      <c r="N75" s="455">
        <v>44366</v>
      </c>
      <c r="O75" s="455">
        <v>46191</v>
      </c>
      <c r="P75" s="491">
        <f t="shared" si="74"/>
        <v>5</v>
      </c>
      <c r="Q75" s="492">
        <f t="shared" si="20"/>
        <v>60</v>
      </c>
      <c r="R75" s="493">
        <f t="shared" si="57"/>
        <v>25</v>
      </c>
      <c r="S75" s="494">
        <f t="shared" si="58"/>
        <v>1.8794520547945206</v>
      </c>
      <c r="T75" s="455">
        <v>44730</v>
      </c>
      <c r="U75" s="491">
        <f t="shared" si="75"/>
        <v>1</v>
      </c>
      <c r="V75" s="492">
        <f t="shared" si="59"/>
        <v>12</v>
      </c>
      <c r="W75" s="492" t="str">
        <f t="shared" si="1"/>
        <v>만료</v>
      </c>
      <c r="X75" s="495">
        <v>3</v>
      </c>
      <c r="Y75" s="496">
        <f t="shared" si="24"/>
        <v>46099</v>
      </c>
      <c r="Z75" s="497">
        <v>20</v>
      </c>
      <c r="AA75" s="583">
        <f t="shared" si="60"/>
        <v>4</v>
      </c>
      <c r="AB75" s="499">
        <v>4</v>
      </c>
      <c r="AC75" s="500"/>
      <c r="AD75" s="501">
        <f t="shared" si="61"/>
        <v>0</v>
      </c>
      <c r="AE75" s="502">
        <v>0</v>
      </c>
      <c r="AF75" s="501">
        <f t="shared" si="25"/>
        <v>255529.53780226508</v>
      </c>
      <c r="AG75" s="501">
        <f t="shared" si="4"/>
        <v>190356.2013092805</v>
      </c>
      <c r="AH75" s="501">
        <f t="shared" si="62"/>
        <v>550000.40056628629</v>
      </c>
      <c r="AI75" s="501">
        <f t="shared" si="63"/>
        <v>60090.041058564559</v>
      </c>
      <c r="AJ75" s="501">
        <f t="shared" si="64"/>
        <v>32774.604055832489</v>
      </c>
      <c r="AK75" s="501">
        <f t="shared" si="65"/>
        <v>264313500</v>
      </c>
      <c r="AL75" s="501">
        <f t="shared" si="27"/>
        <v>0</v>
      </c>
      <c r="AM75" s="502">
        <v>264313500</v>
      </c>
      <c r="AN75" s="502"/>
      <c r="AO75" s="502"/>
      <c r="AP75" s="502"/>
      <c r="AQ75" s="502"/>
      <c r="AR75" s="501">
        <f t="shared" si="66"/>
        <v>1732647000</v>
      </c>
      <c r="AS75" s="501">
        <f t="shared" si="67"/>
        <v>1039588200.0000001</v>
      </c>
      <c r="AT75" s="502">
        <v>28877450</v>
      </c>
      <c r="AU75" s="503">
        <f t="shared" si="28"/>
        <v>17326470.000000004</v>
      </c>
      <c r="AV75" s="501">
        <f t="shared" si="68"/>
        <v>945028800</v>
      </c>
      <c r="AW75" s="504">
        <f t="shared" si="69"/>
        <v>945028800</v>
      </c>
      <c r="AX75" s="502">
        <v>15750480</v>
      </c>
      <c r="AY75" s="501">
        <f t="shared" si="70"/>
        <v>92864.645114397048</v>
      </c>
      <c r="AZ75" s="501">
        <f t="shared" si="71"/>
        <v>44627930</v>
      </c>
      <c r="BA75" s="505">
        <f t="shared" si="72"/>
        <v>10</v>
      </c>
      <c r="BB75" s="506">
        <v>9</v>
      </c>
      <c r="BC75" s="507" t="s">
        <v>1868</v>
      </c>
      <c r="BD75" s="455" t="s">
        <v>1789</v>
      </c>
      <c r="BE75" s="508">
        <v>45827</v>
      </c>
      <c r="BF75" s="509">
        <f t="shared" si="15"/>
        <v>45827</v>
      </c>
      <c r="BG75" s="486" t="s">
        <v>1790</v>
      </c>
      <c r="BH75" s="510" t="s">
        <v>1791</v>
      </c>
      <c r="BI75" s="511">
        <v>0.19</v>
      </c>
      <c r="BJ75" s="512" t="s">
        <v>1871</v>
      </c>
      <c r="BK75" s="513">
        <v>10</v>
      </c>
      <c r="BL75" s="514" t="s">
        <v>1872</v>
      </c>
      <c r="BM75" s="514"/>
      <c r="BN75" s="515" t="s">
        <v>1794</v>
      </c>
      <c r="BO75" s="516"/>
      <c r="BP75" s="516"/>
    </row>
    <row r="76" spans="3:68" ht="40.15" customHeight="1" outlineLevel="1">
      <c r="C76" s="2608"/>
      <c r="D76" s="2610">
        <v>10</v>
      </c>
      <c r="E76" s="485">
        <v>1</v>
      </c>
      <c r="F76" s="485" t="s">
        <v>1873</v>
      </c>
      <c r="G76" s="486" t="s">
        <v>1874</v>
      </c>
      <c r="H76" s="487">
        <v>144.72</v>
      </c>
      <c r="I76" s="488">
        <f t="shared" si="16"/>
        <v>43.777799999999999</v>
      </c>
      <c r="J76" s="489">
        <v>52.69</v>
      </c>
      <c r="K76" s="488">
        <f t="shared" si="17"/>
        <v>15.938724999999998</v>
      </c>
      <c r="L76" s="490">
        <f t="shared" si="73"/>
        <v>0.36408236594803756</v>
      </c>
      <c r="M76" s="455">
        <v>44013</v>
      </c>
      <c r="N76" s="455">
        <v>44013</v>
      </c>
      <c r="O76" s="455">
        <v>45838</v>
      </c>
      <c r="P76" s="491">
        <f t="shared" si="74"/>
        <v>5</v>
      </c>
      <c r="Q76" s="492">
        <f t="shared" si="20"/>
        <v>60</v>
      </c>
      <c r="R76" s="493">
        <f t="shared" si="57"/>
        <v>13</v>
      </c>
      <c r="S76" s="494">
        <f t="shared" si="58"/>
        <v>0.9123287671232877</v>
      </c>
      <c r="T76" s="455">
        <v>45107</v>
      </c>
      <c r="U76" s="491">
        <f t="shared" si="75"/>
        <v>3</v>
      </c>
      <c r="V76" s="492">
        <f t="shared" si="59"/>
        <v>36</v>
      </c>
      <c r="W76" s="492" t="str">
        <f t="shared" si="1"/>
        <v>만료</v>
      </c>
      <c r="X76" s="495">
        <v>3</v>
      </c>
      <c r="Y76" s="496">
        <f t="shared" si="24"/>
        <v>45746</v>
      </c>
      <c r="Z76" s="497">
        <v>0</v>
      </c>
      <c r="AA76" s="583">
        <f t="shared" si="60"/>
        <v>0</v>
      </c>
      <c r="AB76" s="587">
        <f>13/30</f>
        <v>0.43333333333333335</v>
      </c>
      <c r="AC76" s="500"/>
      <c r="AD76" s="501">
        <f t="shared" si="61"/>
        <v>0</v>
      </c>
      <c r="AE76" s="502">
        <v>0</v>
      </c>
      <c r="AF76" s="501">
        <f t="shared" si="25"/>
        <v>451597.28899268928</v>
      </c>
      <c r="AG76" s="501">
        <f t="shared" si="4"/>
        <v>449176.33694734756</v>
      </c>
      <c r="AH76" s="501">
        <f t="shared" si="62"/>
        <v>1650014.3908556392</v>
      </c>
      <c r="AI76" s="501">
        <f t="shared" si="63"/>
        <v>122043.59287127266</v>
      </c>
      <c r="AJ76" s="501">
        <f t="shared" si="64"/>
        <v>38249.980583766199</v>
      </c>
      <c r="AK76" s="501">
        <f t="shared" si="65"/>
        <v>72234000</v>
      </c>
      <c r="AL76" s="501">
        <f t="shared" si="27"/>
        <v>0</v>
      </c>
      <c r="AM76" s="502"/>
      <c r="AN76" s="502">
        <v>72234000</v>
      </c>
      <c r="AO76" s="502"/>
      <c r="AP76" s="502"/>
      <c r="AQ76" s="502"/>
      <c r="AR76" s="501">
        <f t="shared" si="66"/>
        <v>320568000.00000006</v>
      </c>
      <c r="AS76" s="501">
        <f t="shared" si="67"/>
        <v>318252786.66666669</v>
      </c>
      <c r="AT76" s="502">
        <v>5342800</v>
      </c>
      <c r="AU76" s="503">
        <f t="shared" si="28"/>
        <v>5304213.111111111</v>
      </c>
      <c r="AV76" s="501">
        <f t="shared" si="68"/>
        <v>100470000</v>
      </c>
      <c r="AW76" s="504">
        <f t="shared" si="69"/>
        <v>100470000</v>
      </c>
      <c r="AX76" s="502">
        <v>1674500</v>
      </c>
      <c r="AY76" s="501">
        <f t="shared" si="70"/>
        <v>160293.57345503886</v>
      </c>
      <c r="AZ76" s="501">
        <f t="shared" si="71"/>
        <v>7017300</v>
      </c>
      <c r="BA76" s="505">
        <f t="shared" si="72"/>
        <v>1</v>
      </c>
      <c r="BB76" s="506">
        <v>1</v>
      </c>
      <c r="BC76" s="507" t="s">
        <v>1875</v>
      </c>
      <c r="BD76" s="455" t="s">
        <v>1789</v>
      </c>
      <c r="BE76" s="508">
        <v>45474</v>
      </c>
      <c r="BF76" s="509">
        <f t="shared" si="15"/>
        <v>45474</v>
      </c>
      <c r="BG76" s="486" t="s">
        <v>1790</v>
      </c>
      <c r="BH76" s="510" t="s">
        <v>1791</v>
      </c>
      <c r="BI76" s="511">
        <v>0.19</v>
      </c>
      <c r="BJ76" s="519"/>
      <c r="BK76" s="513">
        <v>10</v>
      </c>
      <c r="BL76" s="514" t="s">
        <v>1872</v>
      </c>
      <c r="BM76" s="514"/>
      <c r="BN76" s="515" t="s">
        <v>1794</v>
      </c>
      <c r="BO76" s="516"/>
      <c r="BP76" s="516"/>
    </row>
    <row r="77" spans="3:68" ht="40.15" customHeight="1" outlineLevel="1">
      <c r="C77" s="2608"/>
      <c r="D77" s="2611"/>
      <c r="E77" s="485">
        <v>2</v>
      </c>
      <c r="F77" s="485" t="s">
        <v>1873</v>
      </c>
      <c r="G77" s="486" t="s">
        <v>1876</v>
      </c>
      <c r="H77" s="487">
        <v>361.74</v>
      </c>
      <c r="I77" s="488">
        <f t="shared" si="16"/>
        <v>109.42635</v>
      </c>
      <c r="J77" s="489">
        <v>131.69</v>
      </c>
      <c r="K77" s="488">
        <f t="shared" si="17"/>
        <v>39.836224999999999</v>
      </c>
      <c r="L77" s="490">
        <f t="shared" si="73"/>
        <v>0.36404599988942332</v>
      </c>
      <c r="M77" s="455">
        <v>43991</v>
      </c>
      <c r="N77" s="455">
        <v>43991</v>
      </c>
      <c r="O77" s="455">
        <v>45869</v>
      </c>
      <c r="P77" s="491">
        <f t="shared" si="74"/>
        <v>5.166666666666667</v>
      </c>
      <c r="Q77" s="492">
        <f t="shared" si="20"/>
        <v>62</v>
      </c>
      <c r="R77" s="493">
        <f t="shared" si="57"/>
        <v>14</v>
      </c>
      <c r="S77" s="494">
        <f t="shared" si="58"/>
        <v>0.99726027397260286</v>
      </c>
      <c r="T77" s="455">
        <v>45138</v>
      </c>
      <c r="U77" s="491">
        <f t="shared" si="75"/>
        <v>3.1666666666666665</v>
      </c>
      <c r="V77" s="492">
        <f t="shared" si="59"/>
        <v>38</v>
      </c>
      <c r="W77" s="492" t="str">
        <f t="shared" ref="W77:W103" si="76">IFERROR(DATEDIF($R$1,T77,"m"),"만료")</f>
        <v>만료</v>
      </c>
      <c r="X77" s="495">
        <v>3</v>
      </c>
      <c r="Y77" s="496">
        <f t="shared" si="24"/>
        <v>45777</v>
      </c>
      <c r="Z77" s="497">
        <v>10</v>
      </c>
      <c r="AA77" s="583">
        <f t="shared" si="60"/>
        <v>1.935483870967742</v>
      </c>
      <c r="AB77" s="587">
        <v>0.73333333333333328</v>
      </c>
      <c r="AC77" s="500"/>
      <c r="AD77" s="501">
        <f t="shared" si="61"/>
        <v>861940.40725495457</v>
      </c>
      <c r="AE77" s="502">
        <v>34336452</v>
      </c>
      <c r="AF77" s="501">
        <f t="shared" si="25"/>
        <v>275278.6565494095</v>
      </c>
      <c r="AG77" s="501">
        <f t="shared" ref="AG77:AG104" si="77">IF(ISERROR((SUM(AS77,AW77-AE77)/Q77+AK77*$K$5/12)/K77),0,(SUM(AS77,AW77-AE77)/Q77+AK77*$K$5/12)/K77)</f>
        <v>227877.61169207061</v>
      </c>
      <c r="AH77" s="501">
        <f t="shared" si="62"/>
        <v>652722.12771421147</v>
      </c>
      <c r="AI77" s="501">
        <f t="shared" si="63"/>
        <v>70443.727676194991</v>
      </c>
      <c r="AJ77" s="501">
        <f t="shared" si="64"/>
        <v>28138.560776266411</v>
      </c>
      <c r="AK77" s="501">
        <f t="shared" si="65"/>
        <v>71425000</v>
      </c>
      <c r="AL77" s="501">
        <f t="shared" si="27"/>
        <v>0</v>
      </c>
      <c r="AM77" s="502"/>
      <c r="AN77" s="502">
        <v>71425000</v>
      </c>
      <c r="AO77" s="502"/>
      <c r="AP77" s="502"/>
      <c r="AQ77" s="502"/>
      <c r="AR77" s="501">
        <f t="shared" si="66"/>
        <v>477920799.99999994</v>
      </c>
      <c r="AS77" s="501">
        <f t="shared" si="67"/>
        <v>395183973.33333331</v>
      </c>
      <c r="AT77" s="502">
        <v>7708400</v>
      </c>
      <c r="AU77" s="503">
        <f t="shared" si="28"/>
        <v>6373935.0537634408</v>
      </c>
      <c r="AV77" s="501">
        <f t="shared" si="68"/>
        <v>190904200</v>
      </c>
      <c r="AW77" s="504">
        <f t="shared" si="69"/>
        <v>190904200</v>
      </c>
      <c r="AX77" s="502">
        <v>3079100</v>
      </c>
      <c r="AY77" s="501">
        <f t="shared" si="70"/>
        <v>98582.288452461406</v>
      </c>
      <c r="AZ77" s="501">
        <f t="shared" si="71"/>
        <v>10787500</v>
      </c>
      <c r="BA77" s="505">
        <f t="shared" si="72"/>
        <v>2</v>
      </c>
      <c r="BB77" s="506">
        <v>2</v>
      </c>
      <c r="BC77" s="507" t="s">
        <v>1827</v>
      </c>
      <c r="BD77" s="455" t="s">
        <v>1789</v>
      </c>
      <c r="BE77" s="508">
        <v>45505</v>
      </c>
      <c r="BF77" s="509">
        <f t="shared" ref="BF77:BF103" si="78">BE77</f>
        <v>45505</v>
      </c>
      <c r="BG77" s="486" t="s">
        <v>1790</v>
      </c>
      <c r="BH77" s="510" t="s">
        <v>1791</v>
      </c>
      <c r="BI77" s="511">
        <v>0.19</v>
      </c>
      <c r="BJ77" s="512" t="s">
        <v>1877</v>
      </c>
      <c r="BK77" s="513">
        <v>10</v>
      </c>
      <c r="BL77" s="514"/>
      <c r="BM77" s="514"/>
      <c r="BN77" s="515" t="s">
        <v>1794</v>
      </c>
      <c r="BO77" s="516"/>
      <c r="BP77" s="516"/>
    </row>
    <row r="78" spans="3:68" ht="40.15" customHeight="1" outlineLevel="1">
      <c r="C78" s="2608"/>
      <c r="D78" s="2611"/>
      <c r="E78" s="485">
        <v>3</v>
      </c>
      <c r="F78" s="485" t="s">
        <v>1873</v>
      </c>
      <c r="G78" s="486" t="s">
        <v>1878</v>
      </c>
      <c r="H78" s="487">
        <v>356.56</v>
      </c>
      <c r="I78" s="488">
        <f t="shared" si="16"/>
        <v>107.85939999999999</v>
      </c>
      <c r="J78" s="489">
        <v>129.81</v>
      </c>
      <c r="K78" s="488">
        <f t="shared" si="17"/>
        <v>39.267524999999999</v>
      </c>
      <c r="L78" s="490">
        <f t="shared" si="73"/>
        <v>0.3640621494278663</v>
      </c>
      <c r="M78" s="455">
        <v>40364</v>
      </c>
      <c r="N78" s="455">
        <v>45505</v>
      </c>
      <c r="O78" s="455">
        <v>45565</v>
      </c>
      <c r="P78" s="491">
        <f t="shared" si="74"/>
        <v>0.16666666666666666</v>
      </c>
      <c r="Q78" s="492">
        <f t="shared" si="20"/>
        <v>2</v>
      </c>
      <c r="R78" s="493">
        <f t="shared" si="57"/>
        <v>4</v>
      </c>
      <c r="S78" s="494">
        <f t="shared" si="58"/>
        <v>0.16438356164383561</v>
      </c>
      <c r="T78" s="455"/>
      <c r="U78" s="491" t="e">
        <f t="shared" si="75"/>
        <v>#NUM!</v>
      </c>
      <c r="V78" s="492" t="e">
        <f t="shared" si="59"/>
        <v>#NUM!</v>
      </c>
      <c r="W78" s="492" t="str">
        <f t="shared" si="76"/>
        <v>만료</v>
      </c>
      <c r="X78" s="495"/>
      <c r="Y78" s="496">
        <f t="shared" ref="Y78:Y104" si="79">EDATE($O78,-X78)</f>
        <v>45565</v>
      </c>
      <c r="Z78" s="497">
        <v>0</v>
      </c>
      <c r="AA78" s="583">
        <f t="shared" si="60"/>
        <v>0</v>
      </c>
      <c r="AB78" s="499">
        <v>0</v>
      </c>
      <c r="AC78" s="500"/>
      <c r="AD78" s="501">
        <f t="shared" si="61"/>
        <v>0</v>
      </c>
      <c r="AE78" s="502">
        <v>0</v>
      </c>
      <c r="AF78" s="501">
        <f t="shared" ref="AF78:AF104" si="80">IF(ISERROR((SUM(AR78,AV78)/Q78+AK78*$K$5/12)/K78),0,(SUM(AR78,AV78)/Q78+AK78*$K$5/12)/K78)</f>
        <v>311055.89160508587</v>
      </c>
      <c r="AG78" s="501">
        <f t="shared" si="77"/>
        <v>311055.89160508587</v>
      </c>
      <c r="AH78" s="501">
        <f t="shared" si="62"/>
        <v>579995.80935922137</v>
      </c>
      <c r="AI78" s="501">
        <f t="shared" si="63"/>
        <v>74192.884440299138</v>
      </c>
      <c r="AJ78" s="501">
        <f t="shared" si="64"/>
        <v>37600.802526251769</v>
      </c>
      <c r="AK78" s="501">
        <f t="shared" si="65"/>
        <v>62558000</v>
      </c>
      <c r="AL78" s="501">
        <f t="shared" ref="AL78:AL104" si="81">SUM(AO78:AQ78)</f>
        <v>0</v>
      </c>
      <c r="AM78" s="502"/>
      <c r="AN78" s="502">
        <v>62558000</v>
      </c>
      <c r="AO78" s="502"/>
      <c r="AP78" s="502"/>
      <c r="AQ78" s="502"/>
      <c r="AR78" s="501">
        <f t="shared" si="66"/>
        <v>16004800</v>
      </c>
      <c r="AS78" s="501">
        <f t="shared" si="67"/>
        <v>16004800</v>
      </c>
      <c r="AT78" s="502">
        <v>8002400</v>
      </c>
      <c r="AU78" s="503">
        <f t="shared" ref="AU78:AU104" si="82">IF(ISERROR(AS78/Q78),0,AS78/Q78)</f>
        <v>8002400</v>
      </c>
      <c r="AV78" s="501">
        <f t="shared" si="68"/>
        <v>8111200</v>
      </c>
      <c r="AW78" s="504">
        <f t="shared" si="69"/>
        <v>8111200</v>
      </c>
      <c r="AX78" s="502">
        <v>4055600</v>
      </c>
      <c r="AY78" s="501">
        <f t="shared" si="70"/>
        <v>111793.6869665509</v>
      </c>
      <c r="AZ78" s="501">
        <f t="shared" si="71"/>
        <v>12058000</v>
      </c>
      <c r="BA78" s="505">
        <f t="shared" si="72"/>
        <v>2</v>
      </c>
      <c r="BB78" s="506">
        <v>2</v>
      </c>
      <c r="BC78" s="507"/>
      <c r="BD78" s="455"/>
      <c r="BE78" s="508"/>
      <c r="BF78" s="509">
        <f t="shared" si="78"/>
        <v>0</v>
      </c>
      <c r="BG78" s="486" t="s">
        <v>1790</v>
      </c>
      <c r="BH78" s="510" t="s">
        <v>1791</v>
      </c>
      <c r="BI78" s="511">
        <v>0.19</v>
      </c>
      <c r="BJ78" s="519" t="s">
        <v>1879</v>
      </c>
      <c r="BK78" s="513">
        <v>10</v>
      </c>
      <c r="BL78" s="514" t="s">
        <v>2095</v>
      </c>
      <c r="BM78" s="514"/>
      <c r="BN78" s="515" t="s">
        <v>1794</v>
      </c>
      <c r="BO78" s="516"/>
      <c r="BP78" s="516"/>
    </row>
    <row r="79" spans="3:68" ht="40.15" customHeight="1" outlineLevel="1">
      <c r="C79" s="2608"/>
      <c r="D79" s="2611"/>
      <c r="E79" s="485">
        <v>4</v>
      </c>
      <c r="F79" s="485" t="s">
        <v>1873</v>
      </c>
      <c r="G79" s="486" t="s">
        <v>1881</v>
      </c>
      <c r="H79" s="487">
        <v>693.25</v>
      </c>
      <c r="I79" s="488">
        <f t="shared" si="16"/>
        <v>209.708125</v>
      </c>
      <c r="J79" s="489">
        <v>252.4</v>
      </c>
      <c r="K79" s="488">
        <f t="shared" si="17"/>
        <v>76.350999999999999</v>
      </c>
      <c r="L79" s="490">
        <f t="shared" si="73"/>
        <v>0.36408222142084384</v>
      </c>
      <c r="M79" s="455">
        <v>41699</v>
      </c>
      <c r="N79" s="455">
        <v>44541</v>
      </c>
      <c r="O79" s="455">
        <v>45636</v>
      </c>
      <c r="P79" s="491">
        <f t="shared" si="74"/>
        <v>3</v>
      </c>
      <c r="Q79" s="492">
        <f t="shared" si="20"/>
        <v>36</v>
      </c>
      <c r="R79" s="493">
        <f t="shared" si="57"/>
        <v>6</v>
      </c>
      <c r="S79" s="494">
        <f t="shared" si="58"/>
        <v>0.35890410958904112</v>
      </c>
      <c r="T79" s="455">
        <v>45270</v>
      </c>
      <c r="U79" s="491">
        <f t="shared" si="75"/>
        <v>2</v>
      </c>
      <c r="V79" s="492">
        <f t="shared" si="59"/>
        <v>24</v>
      </c>
      <c r="W79" s="492" t="str">
        <f t="shared" si="76"/>
        <v>만료</v>
      </c>
      <c r="X79" s="495">
        <v>3</v>
      </c>
      <c r="Y79" s="496">
        <f t="shared" si="79"/>
        <v>45545</v>
      </c>
      <c r="Z79" s="497">
        <v>12</v>
      </c>
      <c r="AA79" s="583">
        <f t="shared" si="60"/>
        <v>4</v>
      </c>
      <c r="AB79" s="499">
        <v>0</v>
      </c>
      <c r="AC79" s="500"/>
      <c r="AD79" s="501">
        <f t="shared" si="61"/>
        <v>0</v>
      </c>
      <c r="AE79" s="502">
        <v>0</v>
      </c>
      <c r="AF79" s="501">
        <f t="shared" si="80"/>
        <v>283106.86827939388</v>
      </c>
      <c r="AG79" s="501">
        <f t="shared" si="77"/>
        <v>222143.24850580431</v>
      </c>
      <c r="AH79" s="501">
        <f t="shared" si="62"/>
        <v>615317.12230987719</v>
      </c>
      <c r="AI79" s="501">
        <f t="shared" si="63"/>
        <v>66587.310339072457</v>
      </c>
      <c r="AJ79" s="501">
        <f t="shared" si="64"/>
        <v>34948.574357812795</v>
      </c>
      <c r="AK79" s="501">
        <f t="shared" si="65"/>
        <v>129037000</v>
      </c>
      <c r="AL79" s="501">
        <f t="shared" si="81"/>
        <v>0</v>
      </c>
      <c r="AM79" s="502"/>
      <c r="AN79" s="502">
        <v>129037000</v>
      </c>
      <c r="AO79" s="502"/>
      <c r="AP79" s="502"/>
      <c r="AQ79" s="502"/>
      <c r="AR79" s="501">
        <f t="shared" si="66"/>
        <v>502700400</v>
      </c>
      <c r="AS79" s="501">
        <f t="shared" si="67"/>
        <v>335133600</v>
      </c>
      <c r="AT79" s="502">
        <v>13963900</v>
      </c>
      <c r="AU79" s="503">
        <f t="shared" si="82"/>
        <v>9309266.666666666</v>
      </c>
      <c r="AV79" s="501">
        <f t="shared" si="68"/>
        <v>263844000.00000003</v>
      </c>
      <c r="AW79" s="504">
        <f t="shared" si="69"/>
        <v>263844000.00000003</v>
      </c>
      <c r="AX79" s="502">
        <v>7329000</v>
      </c>
      <c r="AY79" s="501">
        <f t="shared" si="70"/>
        <v>101535.88469688526</v>
      </c>
      <c r="AZ79" s="501">
        <f t="shared" si="71"/>
        <v>21292900</v>
      </c>
      <c r="BA79" s="505">
        <f t="shared" si="72"/>
        <v>4</v>
      </c>
      <c r="BB79" s="506">
        <v>4</v>
      </c>
      <c r="BC79" s="507" t="s">
        <v>1882</v>
      </c>
      <c r="BD79" s="455" t="s">
        <v>1789</v>
      </c>
      <c r="BE79" s="508"/>
      <c r="BF79" s="509">
        <f t="shared" si="78"/>
        <v>0</v>
      </c>
      <c r="BG79" s="486" t="s">
        <v>1790</v>
      </c>
      <c r="BH79" s="510" t="s">
        <v>1791</v>
      </c>
      <c r="BI79" s="511">
        <v>0.19</v>
      </c>
      <c r="BJ79" s="512" t="s">
        <v>1883</v>
      </c>
      <c r="BK79" s="513">
        <v>10</v>
      </c>
      <c r="BL79" s="514" t="s">
        <v>1880</v>
      </c>
      <c r="BM79" s="514"/>
      <c r="BN79" s="515" t="s">
        <v>1794</v>
      </c>
      <c r="BO79" s="516"/>
      <c r="BP79" s="516"/>
    </row>
    <row r="80" spans="3:68" ht="40.15" customHeight="1" outlineLevel="1">
      <c r="C80" s="2608"/>
      <c r="D80" s="2611"/>
      <c r="E80" s="485">
        <v>5</v>
      </c>
      <c r="F80" s="485" t="s">
        <v>1873</v>
      </c>
      <c r="G80" s="486" t="s">
        <v>1884</v>
      </c>
      <c r="H80" s="487">
        <v>259.3</v>
      </c>
      <c r="I80" s="488">
        <f t="shared" si="16"/>
        <v>78.438249999999996</v>
      </c>
      <c r="J80" s="489">
        <v>94.4</v>
      </c>
      <c r="K80" s="488">
        <f t="shared" si="17"/>
        <v>28.556000000000001</v>
      </c>
      <c r="L80" s="490">
        <f t="shared" si="73"/>
        <v>0.36405707674508292</v>
      </c>
      <c r="M80" s="455">
        <v>43313</v>
      </c>
      <c r="N80" s="455">
        <v>45139</v>
      </c>
      <c r="O80" s="455">
        <v>46965</v>
      </c>
      <c r="P80" s="491">
        <f t="shared" si="74"/>
        <v>5</v>
      </c>
      <c r="Q80" s="492">
        <f t="shared" si="20"/>
        <v>60</v>
      </c>
      <c r="R80" s="493">
        <f t="shared" si="57"/>
        <v>50</v>
      </c>
      <c r="S80" s="494">
        <f t="shared" si="58"/>
        <v>4</v>
      </c>
      <c r="T80" s="455">
        <v>46965</v>
      </c>
      <c r="U80" s="491">
        <f t="shared" si="75"/>
        <v>5</v>
      </c>
      <c r="V80" s="492">
        <f t="shared" si="59"/>
        <v>60</v>
      </c>
      <c r="W80" s="492">
        <f t="shared" si="76"/>
        <v>50</v>
      </c>
      <c r="X80" s="495">
        <v>3</v>
      </c>
      <c r="Y80" s="496">
        <f t="shared" si="79"/>
        <v>46873</v>
      </c>
      <c r="Z80" s="497">
        <v>0</v>
      </c>
      <c r="AA80" s="583">
        <f t="shared" si="60"/>
        <v>0</v>
      </c>
      <c r="AB80" s="499">
        <v>0</v>
      </c>
      <c r="AC80" s="500"/>
      <c r="AD80" s="501">
        <f t="shared" si="61"/>
        <v>0</v>
      </c>
      <c r="AE80" s="502">
        <v>0</v>
      </c>
      <c r="AF80" s="501">
        <f t="shared" si="80"/>
        <v>305672.18798151001</v>
      </c>
      <c r="AG80" s="501">
        <f t="shared" si="77"/>
        <v>305672.18798151001</v>
      </c>
      <c r="AH80" s="501">
        <f t="shared" si="62"/>
        <v>579181.71300354099</v>
      </c>
      <c r="AI80" s="501">
        <f t="shared" si="63"/>
        <v>72399.626457754988</v>
      </c>
      <c r="AJ80" s="501">
        <f t="shared" si="64"/>
        <v>37434.542458558164</v>
      </c>
      <c r="AK80" s="501">
        <f t="shared" si="65"/>
        <v>45430000</v>
      </c>
      <c r="AL80" s="501">
        <f t="shared" si="81"/>
        <v>0</v>
      </c>
      <c r="AM80" s="502"/>
      <c r="AN80" s="502">
        <v>45430000</v>
      </c>
      <c r="AO80" s="502"/>
      <c r="AP80" s="502"/>
      <c r="AQ80" s="502"/>
      <c r="AR80" s="501">
        <f t="shared" si="66"/>
        <v>340734000</v>
      </c>
      <c r="AS80" s="501">
        <f t="shared" si="67"/>
        <v>340734000</v>
      </c>
      <c r="AT80" s="502">
        <v>5678900</v>
      </c>
      <c r="AU80" s="503">
        <f t="shared" si="82"/>
        <v>5678900</v>
      </c>
      <c r="AV80" s="501">
        <f t="shared" si="68"/>
        <v>176178000</v>
      </c>
      <c r="AW80" s="504">
        <f t="shared" si="69"/>
        <v>176178000</v>
      </c>
      <c r="AX80" s="502">
        <v>2936300</v>
      </c>
      <c r="AY80" s="501">
        <f t="shared" si="70"/>
        <v>109834.16891631315</v>
      </c>
      <c r="AZ80" s="501">
        <f t="shared" si="71"/>
        <v>8615200</v>
      </c>
      <c r="BA80" s="505">
        <f t="shared" si="72"/>
        <v>2</v>
      </c>
      <c r="BB80" s="506">
        <v>1</v>
      </c>
      <c r="BC80" s="507" t="s">
        <v>1885</v>
      </c>
      <c r="BD80" s="455" t="s">
        <v>1789</v>
      </c>
      <c r="BE80" s="508">
        <v>45505</v>
      </c>
      <c r="BF80" s="509">
        <f t="shared" si="78"/>
        <v>45505</v>
      </c>
      <c r="BG80" s="486" t="s">
        <v>1790</v>
      </c>
      <c r="BH80" s="510" t="s">
        <v>1791</v>
      </c>
      <c r="BI80" s="511">
        <v>0.19</v>
      </c>
      <c r="BJ80" s="519"/>
      <c r="BK80" s="513">
        <v>10</v>
      </c>
      <c r="BL80" s="950" t="s">
        <v>1886</v>
      </c>
      <c r="BM80" s="950" t="s">
        <v>1887</v>
      </c>
      <c r="BN80" s="515" t="s">
        <v>1794</v>
      </c>
      <c r="BO80" s="516"/>
      <c r="BP80" s="516"/>
    </row>
    <row r="81" spans="3:68" ht="40.15" customHeight="1" outlineLevel="1">
      <c r="C81" s="2608"/>
      <c r="D81" s="2612"/>
      <c r="E81" s="588">
        <v>6</v>
      </c>
      <c r="F81" s="588" t="s">
        <v>1888</v>
      </c>
      <c r="G81" s="589" t="s">
        <v>1889</v>
      </c>
      <c r="H81" s="520">
        <v>200.81</v>
      </c>
      <c r="I81" s="590">
        <f t="shared" si="16"/>
        <v>60.745024999999998</v>
      </c>
      <c r="J81" s="521">
        <v>73.11</v>
      </c>
      <c r="K81" s="590">
        <f t="shared" si="17"/>
        <v>22.115774999999999</v>
      </c>
      <c r="L81" s="591">
        <f t="shared" si="73"/>
        <v>0.36407549424829438</v>
      </c>
      <c r="M81" s="522"/>
      <c r="N81" s="522"/>
      <c r="O81" s="522"/>
      <c r="P81" s="592">
        <f t="shared" si="74"/>
        <v>8.3333333333333329E-2</v>
      </c>
      <c r="Q81" s="593">
        <f t="shared" si="20"/>
        <v>1</v>
      </c>
      <c r="R81" s="594">
        <f t="shared" si="57"/>
        <v>0</v>
      </c>
      <c r="S81" s="523"/>
      <c r="T81" s="522"/>
      <c r="U81" s="592">
        <f t="shared" si="75"/>
        <v>8.3333333333333329E-2</v>
      </c>
      <c r="V81" s="593">
        <f t="shared" si="59"/>
        <v>1</v>
      </c>
      <c r="W81" s="593" t="str">
        <f t="shared" si="76"/>
        <v>만료</v>
      </c>
      <c r="X81" s="595"/>
      <c r="Y81" s="596">
        <f t="shared" si="79"/>
        <v>0</v>
      </c>
      <c r="Z81" s="597"/>
      <c r="AA81" s="598">
        <f t="shared" si="60"/>
        <v>0</v>
      </c>
      <c r="AB81" s="524"/>
      <c r="AC81" s="525"/>
      <c r="AD81" s="599">
        <f t="shared" si="61"/>
        <v>0</v>
      </c>
      <c r="AE81" s="527"/>
      <c r="AF81" s="599">
        <f t="shared" si="80"/>
        <v>0</v>
      </c>
      <c r="AG81" s="599">
        <f t="shared" si="77"/>
        <v>0</v>
      </c>
      <c r="AH81" s="599">
        <f t="shared" si="62"/>
        <v>0</v>
      </c>
      <c r="AI81" s="599">
        <f t="shared" si="63"/>
        <v>0</v>
      </c>
      <c r="AJ81" s="599">
        <f t="shared" si="64"/>
        <v>0</v>
      </c>
      <c r="AK81" s="599">
        <f t="shared" si="65"/>
        <v>0</v>
      </c>
      <c r="AL81" s="599">
        <f t="shared" si="81"/>
        <v>0</v>
      </c>
      <c r="AM81" s="527"/>
      <c r="AN81" s="527"/>
      <c r="AO81" s="527"/>
      <c r="AP81" s="527"/>
      <c r="AQ81" s="527"/>
      <c r="AR81" s="599">
        <f t="shared" si="66"/>
        <v>0</v>
      </c>
      <c r="AS81" s="599">
        <f t="shared" si="67"/>
        <v>0</v>
      </c>
      <c r="AT81" s="527"/>
      <c r="AU81" s="526">
        <f t="shared" si="82"/>
        <v>0</v>
      </c>
      <c r="AV81" s="599">
        <f t="shared" si="68"/>
        <v>0</v>
      </c>
      <c r="AW81" s="600">
        <f t="shared" si="69"/>
        <v>0</v>
      </c>
      <c r="AX81" s="527"/>
      <c r="AY81" s="599">
        <f t="shared" si="70"/>
        <v>0</v>
      </c>
      <c r="AZ81" s="599">
        <f t="shared" si="71"/>
        <v>0</v>
      </c>
      <c r="BA81" s="601">
        <f t="shared" si="72"/>
        <v>1</v>
      </c>
      <c r="BB81" s="528"/>
      <c r="BC81" s="599"/>
      <c r="BD81" s="522" t="s">
        <v>1789</v>
      </c>
      <c r="BE81" s="529"/>
      <c r="BF81" s="530">
        <f t="shared" si="78"/>
        <v>0</v>
      </c>
      <c r="BG81" s="589"/>
      <c r="BH81" s="602"/>
      <c r="BI81" s="531"/>
      <c r="BJ81" s="603"/>
      <c r="BK81" s="532"/>
      <c r="BL81" s="602"/>
      <c r="BM81" s="602"/>
      <c r="BN81" s="533"/>
      <c r="BO81" s="516"/>
      <c r="BP81" s="516"/>
    </row>
    <row r="82" spans="3:68" ht="40.15" customHeight="1" outlineLevel="1">
      <c r="C82" s="2608"/>
      <c r="D82" s="2610">
        <v>9</v>
      </c>
      <c r="E82" s="485">
        <v>1</v>
      </c>
      <c r="F82" s="485" t="s">
        <v>1786</v>
      </c>
      <c r="G82" s="486" t="s">
        <v>1890</v>
      </c>
      <c r="H82" s="487">
        <v>72.16</v>
      </c>
      <c r="I82" s="488">
        <f t="shared" si="16"/>
        <v>21.828399999999998</v>
      </c>
      <c r="J82" s="489">
        <v>27.91</v>
      </c>
      <c r="K82" s="488">
        <f t="shared" si="17"/>
        <v>8.4427749999999993</v>
      </c>
      <c r="L82" s="490">
        <f t="shared" si="73"/>
        <v>0.38677937915742794</v>
      </c>
      <c r="M82" s="455">
        <v>43678</v>
      </c>
      <c r="N82" s="455">
        <v>45505</v>
      </c>
      <c r="O82" s="455">
        <v>45869</v>
      </c>
      <c r="P82" s="491">
        <f t="shared" si="74"/>
        <v>1</v>
      </c>
      <c r="Q82" s="492">
        <f t="shared" si="20"/>
        <v>12</v>
      </c>
      <c r="R82" s="493">
        <f t="shared" si="57"/>
        <v>14</v>
      </c>
      <c r="S82" s="494">
        <f t="shared" si="58"/>
        <v>0.99726027397260275</v>
      </c>
      <c r="T82" s="455">
        <v>45504</v>
      </c>
      <c r="U82" s="491" t="e">
        <f t="shared" si="75"/>
        <v>#NUM!</v>
      </c>
      <c r="V82" s="492" t="e">
        <f t="shared" si="59"/>
        <v>#NUM!</v>
      </c>
      <c r="W82" s="492">
        <f t="shared" si="76"/>
        <v>2</v>
      </c>
      <c r="X82" s="495">
        <v>2</v>
      </c>
      <c r="Y82" s="496">
        <f t="shared" si="79"/>
        <v>45808</v>
      </c>
      <c r="Z82" s="497">
        <v>1</v>
      </c>
      <c r="AA82" s="583">
        <f t="shared" si="60"/>
        <v>1</v>
      </c>
      <c r="AB82" s="499">
        <v>0</v>
      </c>
      <c r="AC82" s="500"/>
      <c r="AD82" s="501">
        <f t="shared" si="61"/>
        <v>0</v>
      </c>
      <c r="AE82" s="502">
        <v>0</v>
      </c>
      <c r="AF82" s="501">
        <f t="shared" si="80"/>
        <v>265672.86822164519</v>
      </c>
      <c r="AG82" s="501">
        <f t="shared" si="77"/>
        <v>251607.5875526708</v>
      </c>
      <c r="AH82" s="501">
        <f t="shared" si="62"/>
        <v>550040.3144527314</v>
      </c>
      <c r="AI82" s="501">
        <f t="shared" si="63"/>
        <v>65281.926297850514</v>
      </c>
      <c r="AJ82" s="501">
        <f t="shared" si="64"/>
        <v>36099.759945758742</v>
      </c>
      <c r="AK82" s="501">
        <f t="shared" si="65"/>
        <v>12006500</v>
      </c>
      <c r="AL82" s="501">
        <f t="shared" si="81"/>
        <v>0</v>
      </c>
      <c r="AM82" s="502"/>
      <c r="AN82" s="502">
        <v>12006500</v>
      </c>
      <c r="AO82" s="502"/>
      <c r="AP82" s="502"/>
      <c r="AQ82" s="502"/>
      <c r="AR82" s="501">
        <f t="shared" si="66"/>
        <v>17100000</v>
      </c>
      <c r="AS82" s="501">
        <f t="shared" si="67"/>
        <v>15675000</v>
      </c>
      <c r="AT82" s="502">
        <v>1425000</v>
      </c>
      <c r="AU82" s="503">
        <f t="shared" si="82"/>
        <v>1306250</v>
      </c>
      <c r="AV82" s="501">
        <f t="shared" si="68"/>
        <v>9456000</v>
      </c>
      <c r="AW82" s="504">
        <f t="shared" si="69"/>
        <v>9456000</v>
      </c>
      <c r="AX82" s="502">
        <v>788000</v>
      </c>
      <c r="AY82" s="501">
        <f t="shared" si="70"/>
        <v>101381.68624360925</v>
      </c>
      <c r="AZ82" s="501">
        <f t="shared" si="71"/>
        <v>2213000</v>
      </c>
      <c r="BA82" s="505">
        <f t="shared" si="72"/>
        <v>0</v>
      </c>
      <c r="BB82" s="506">
        <v>0</v>
      </c>
      <c r="BC82" s="501"/>
      <c r="BD82" s="455" t="s">
        <v>1789</v>
      </c>
      <c r="BE82" s="508"/>
      <c r="BF82" s="509">
        <f t="shared" si="78"/>
        <v>0</v>
      </c>
      <c r="BG82" s="486" t="s">
        <v>1790</v>
      </c>
      <c r="BH82" s="510" t="s">
        <v>1791</v>
      </c>
      <c r="BI82" s="511">
        <v>0.19</v>
      </c>
      <c r="BJ82" s="519" t="s">
        <v>1891</v>
      </c>
      <c r="BK82" s="513">
        <v>10</v>
      </c>
      <c r="BL82" s="514"/>
      <c r="BM82" s="514"/>
      <c r="BN82" s="515" t="s">
        <v>1794</v>
      </c>
      <c r="BO82" s="516"/>
      <c r="BP82" s="516"/>
    </row>
    <row r="83" spans="3:68" ht="40.15" customHeight="1" outlineLevel="1">
      <c r="C83" s="2608"/>
      <c r="D83" s="2611"/>
      <c r="E83" s="485">
        <v>2</v>
      </c>
      <c r="F83" s="485" t="s">
        <v>1786</v>
      </c>
      <c r="G83" s="486" t="s">
        <v>1892</v>
      </c>
      <c r="H83" s="487">
        <v>112.5</v>
      </c>
      <c r="I83" s="488">
        <f t="shared" si="16"/>
        <v>34.03125</v>
      </c>
      <c r="J83" s="489">
        <v>40.96</v>
      </c>
      <c r="K83" s="488">
        <f t="shared" si="17"/>
        <v>12.3904</v>
      </c>
      <c r="L83" s="490">
        <f t="shared" si="73"/>
        <v>0.36408888888888891</v>
      </c>
      <c r="M83" s="455"/>
      <c r="N83" s="515"/>
      <c r="O83" s="515"/>
      <c r="P83" s="491">
        <f t="shared" si="74"/>
        <v>8.3333333333333329E-2</v>
      </c>
      <c r="Q83" s="492">
        <f t="shared" si="20"/>
        <v>1</v>
      </c>
      <c r="R83" s="493">
        <f t="shared" si="57"/>
        <v>0</v>
      </c>
      <c r="S83" s="494"/>
      <c r="T83" s="455"/>
      <c r="U83" s="491"/>
      <c r="V83" s="492"/>
      <c r="W83" s="492" t="str">
        <f t="shared" si="76"/>
        <v>만료</v>
      </c>
      <c r="X83" s="495"/>
      <c r="Y83" s="496">
        <f t="shared" si="79"/>
        <v>0</v>
      </c>
      <c r="Z83" s="497"/>
      <c r="AA83" s="583">
        <f t="shared" si="60"/>
        <v>0</v>
      </c>
      <c r="AB83" s="499"/>
      <c r="AC83" s="500"/>
      <c r="AD83" s="501">
        <f t="shared" si="61"/>
        <v>0</v>
      </c>
      <c r="AE83" s="502"/>
      <c r="AF83" s="501">
        <f t="shared" si="80"/>
        <v>0</v>
      </c>
      <c r="AG83" s="501">
        <f t="shared" si="77"/>
        <v>0</v>
      </c>
      <c r="AH83" s="501">
        <f t="shared" si="62"/>
        <v>0</v>
      </c>
      <c r="AI83" s="501">
        <f t="shared" si="63"/>
        <v>0</v>
      </c>
      <c r="AJ83" s="501">
        <f t="shared" si="64"/>
        <v>0</v>
      </c>
      <c r="AK83" s="501">
        <f t="shared" si="65"/>
        <v>0</v>
      </c>
      <c r="AL83" s="501">
        <f t="shared" si="81"/>
        <v>0</v>
      </c>
      <c r="AM83" s="502"/>
      <c r="AN83" s="502"/>
      <c r="AO83" s="502"/>
      <c r="AP83" s="502"/>
      <c r="AQ83" s="502"/>
      <c r="AR83" s="501">
        <f t="shared" si="66"/>
        <v>0</v>
      </c>
      <c r="AS83" s="501">
        <f t="shared" si="67"/>
        <v>0</v>
      </c>
      <c r="AT83" s="502"/>
      <c r="AU83" s="503">
        <f t="shared" si="82"/>
        <v>0</v>
      </c>
      <c r="AV83" s="501">
        <f t="shared" si="68"/>
        <v>0</v>
      </c>
      <c r="AW83" s="504">
        <f t="shared" si="69"/>
        <v>0</v>
      </c>
      <c r="AX83" s="502"/>
      <c r="AY83" s="501">
        <f t="shared" si="70"/>
        <v>0</v>
      </c>
      <c r="AZ83" s="501">
        <f t="shared" si="71"/>
        <v>0</v>
      </c>
      <c r="BA83" s="505">
        <f t="shared" si="72"/>
        <v>1</v>
      </c>
      <c r="BB83" s="506"/>
      <c r="BC83" s="501"/>
      <c r="BD83" s="455" t="s">
        <v>1789</v>
      </c>
      <c r="BE83" s="508"/>
      <c r="BF83" s="509">
        <f t="shared" si="78"/>
        <v>0</v>
      </c>
      <c r="BG83" s="486"/>
      <c r="BH83" s="514"/>
      <c r="BI83" s="511"/>
      <c r="BJ83" s="519"/>
      <c r="BK83" s="604"/>
      <c r="BL83" s="950" t="s">
        <v>1893</v>
      </c>
      <c r="BM83" s="514"/>
      <c r="BN83" s="515"/>
      <c r="BO83" s="516"/>
      <c r="BP83" s="516"/>
    </row>
    <row r="84" spans="3:68" ht="40.15" customHeight="1" outlineLevel="1">
      <c r="C84" s="2608"/>
      <c r="D84" s="2611"/>
      <c r="E84" s="485">
        <v>3</v>
      </c>
      <c r="F84" s="485" t="s">
        <v>1786</v>
      </c>
      <c r="G84" s="486" t="s">
        <v>1894</v>
      </c>
      <c r="H84" s="487">
        <v>737.75</v>
      </c>
      <c r="I84" s="488">
        <f t="shared" si="16"/>
        <v>223.169375</v>
      </c>
      <c r="J84" s="489">
        <v>275.19</v>
      </c>
      <c r="K84" s="488">
        <f t="shared" si="17"/>
        <v>83.244974999999997</v>
      </c>
      <c r="L84" s="490">
        <f t="shared" si="73"/>
        <v>0.37301253812267027</v>
      </c>
      <c r="M84" s="455">
        <v>43136</v>
      </c>
      <c r="N84" s="455">
        <v>44962</v>
      </c>
      <c r="O84" s="455">
        <v>46787</v>
      </c>
      <c r="P84" s="491">
        <f t="shared" si="74"/>
        <v>5</v>
      </c>
      <c r="Q84" s="492">
        <f t="shared" si="20"/>
        <v>60</v>
      </c>
      <c r="R84" s="493">
        <f t="shared" si="57"/>
        <v>44</v>
      </c>
      <c r="S84" s="494">
        <f t="shared" si="58"/>
        <v>3.5123287671232877</v>
      </c>
      <c r="T84" s="455">
        <v>45692</v>
      </c>
      <c r="U84" s="491">
        <f t="shared" si="75"/>
        <v>2</v>
      </c>
      <c r="V84" s="492">
        <f t="shared" ref="V84:V95" si="83">DATEDIF(N84,T84,"m")+1</f>
        <v>24</v>
      </c>
      <c r="W84" s="492">
        <f t="shared" si="76"/>
        <v>8</v>
      </c>
      <c r="X84" s="495">
        <v>3</v>
      </c>
      <c r="Y84" s="496">
        <f t="shared" si="79"/>
        <v>46695</v>
      </c>
      <c r="Z84" s="497">
        <v>5</v>
      </c>
      <c r="AA84" s="583">
        <f t="shared" si="60"/>
        <v>1</v>
      </c>
      <c r="AB84" s="499">
        <v>0</v>
      </c>
      <c r="AC84" s="500"/>
      <c r="AD84" s="501">
        <f t="shared" si="61"/>
        <v>0</v>
      </c>
      <c r="AE84" s="502">
        <v>0</v>
      </c>
      <c r="AF84" s="501">
        <f t="shared" si="80"/>
        <v>283860.97779475577</v>
      </c>
      <c r="AG84" s="501">
        <f t="shared" si="77"/>
        <v>268937.35427673964</v>
      </c>
      <c r="AH84" s="501">
        <f t="shared" si="62"/>
        <v>327105.81368971436</v>
      </c>
      <c r="AI84" s="501">
        <f t="shared" si="63"/>
        <v>66800.38423730855</v>
      </c>
      <c r="AJ84" s="501">
        <f t="shared" si="64"/>
        <v>38265.555029671967</v>
      </c>
      <c r="AK84" s="501">
        <f t="shared" si="65"/>
        <v>73000000</v>
      </c>
      <c r="AL84" s="501">
        <f t="shared" si="81"/>
        <v>0</v>
      </c>
      <c r="AM84" s="502">
        <v>73000000</v>
      </c>
      <c r="AN84" s="502"/>
      <c r="AO84" s="502"/>
      <c r="AP84" s="502"/>
      <c r="AQ84" s="502"/>
      <c r="AR84" s="501">
        <f t="shared" si="66"/>
        <v>894468000.00000012</v>
      </c>
      <c r="AS84" s="501">
        <f t="shared" si="67"/>
        <v>819929000</v>
      </c>
      <c r="AT84" s="502">
        <v>14907800</v>
      </c>
      <c r="AU84" s="503">
        <f t="shared" si="82"/>
        <v>13665483.333333334</v>
      </c>
      <c r="AV84" s="501">
        <f t="shared" si="68"/>
        <v>512381999.99999994</v>
      </c>
      <c r="AW84" s="504">
        <f t="shared" si="69"/>
        <v>512381999.99999994</v>
      </c>
      <c r="AX84" s="502">
        <v>8539700</v>
      </c>
      <c r="AY84" s="501">
        <f t="shared" si="70"/>
        <v>105065.93926698051</v>
      </c>
      <c r="AZ84" s="501">
        <f t="shared" si="71"/>
        <v>23447500</v>
      </c>
      <c r="BA84" s="505">
        <f t="shared" si="72"/>
        <v>4</v>
      </c>
      <c r="BB84" s="506">
        <v>4</v>
      </c>
      <c r="BC84" s="507" t="s">
        <v>1804</v>
      </c>
      <c r="BD84" s="455" t="s">
        <v>1789</v>
      </c>
      <c r="BE84" s="508">
        <v>45693</v>
      </c>
      <c r="BF84" s="509">
        <f t="shared" si="78"/>
        <v>45693</v>
      </c>
      <c r="BG84" s="486" t="s">
        <v>1790</v>
      </c>
      <c r="BH84" s="510" t="s">
        <v>1791</v>
      </c>
      <c r="BI84" s="511">
        <v>0.19</v>
      </c>
      <c r="BJ84" s="519" t="s">
        <v>1895</v>
      </c>
      <c r="BK84" s="513" t="s">
        <v>1802</v>
      </c>
      <c r="BL84" s="514"/>
      <c r="BM84" s="514"/>
      <c r="BN84" s="515" t="s">
        <v>1794</v>
      </c>
      <c r="BO84" s="516"/>
      <c r="BP84" s="516"/>
    </row>
    <row r="85" spans="3:68" ht="40.15" customHeight="1" outlineLevel="1">
      <c r="C85" s="2608"/>
      <c r="D85" s="2611"/>
      <c r="E85" s="485">
        <v>4</v>
      </c>
      <c r="F85" s="485" t="s">
        <v>1786</v>
      </c>
      <c r="G85" s="486" t="s">
        <v>1857</v>
      </c>
      <c r="H85" s="487">
        <v>658.78</v>
      </c>
      <c r="I85" s="488">
        <f t="shared" si="16"/>
        <v>199.28094999999999</v>
      </c>
      <c r="J85" s="489">
        <v>245.72</v>
      </c>
      <c r="K85" s="488">
        <f t="shared" si="17"/>
        <v>74.330299999999994</v>
      </c>
      <c r="L85" s="490">
        <f t="shared" si="73"/>
        <v>0.37299250129026384</v>
      </c>
      <c r="M85" s="455">
        <v>45061</v>
      </c>
      <c r="N85" s="455">
        <v>45061</v>
      </c>
      <c r="O85" s="455">
        <v>46156</v>
      </c>
      <c r="P85" s="491">
        <f t="shared" si="74"/>
        <v>3</v>
      </c>
      <c r="Q85" s="492">
        <f t="shared" si="20"/>
        <v>36</v>
      </c>
      <c r="R85" s="493">
        <f t="shared" si="57"/>
        <v>23</v>
      </c>
      <c r="S85" s="494">
        <f t="shared" si="58"/>
        <v>1.7835616438356163</v>
      </c>
      <c r="T85" s="455">
        <v>45791</v>
      </c>
      <c r="U85" s="491">
        <f t="shared" si="75"/>
        <v>2</v>
      </c>
      <c r="V85" s="492">
        <f t="shared" si="83"/>
        <v>24</v>
      </c>
      <c r="W85" s="492">
        <f t="shared" si="76"/>
        <v>11</v>
      </c>
      <c r="X85" s="495">
        <v>3</v>
      </c>
      <c r="Y85" s="496">
        <f t="shared" si="79"/>
        <v>46067</v>
      </c>
      <c r="Z85" s="497">
        <v>9</v>
      </c>
      <c r="AA85" s="583">
        <f t="shared" si="60"/>
        <v>3</v>
      </c>
      <c r="AB85" s="499">
        <v>1</v>
      </c>
      <c r="AC85" s="500"/>
      <c r="AD85" s="501">
        <f t="shared" si="61"/>
        <v>0</v>
      </c>
      <c r="AE85" s="502">
        <v>0</v>
      </c>
      <c r="AF85" s="501">
        <f t="shared" si="80"/>
        <v>248396.34711551017</v>
      </c>
      <c r="AG85" s="501">
        <f t="shared" si="77"/>
        <v>204885.60295509821</v>
      </c>
      <c r="AH85" s="501">
        <f t="shared" si="62"/>
        <v>569999.28994718264</v>
      </c>
      <c r="AI85" s="501">
        <f t="shared" si="63"/>
        <v>58425.05267061403</v>
      </c>
      <c r="AJ85" s="501">
        <f t="shared" si="64"/>
        <v>32799.92392649674</v>
      </c>
      <c r="AK85" s="501">
        <f t="shared" si="65"/>
        <v>113590000</v>
      </c>
      <c r="AL85" s="501">
        <f t="shared" si="81"/>
        <v>0</v>
      </c>
      <c r="AM85" s="502">
        <v>113590000</v>
      </c>
      <c r="AN85" s="502"/>
      <c r="AO85" s="502"/>
      <c r="AP85" s="502"/>
      <c r="AQ85" s="502"/>
      <c r="AR85" s="501">
        <f t="shared" si="66"/>
        <v>419148000.00000006</v>
      </c>
      <c r="AS85" s="501">
        <f t="shared" si="67"/>
        <v>302718000</v>
      </c>
      <c r="AT85" s="502">
        <v>11643000</v>
      </c>
      <c r="AU85" s="503">
        <f t="shared" si="82"/>
        <v>8408833.333333334</v>
      </c>
      <c r="AV85" s="501">
        <f t="shared" si="68"/>
        <v>235310400.00000003</v>
      </c>
      <c r="AW85" s="504">
        <f t="shared" si="69"/>
        <v>235310400.00000003</v>
      </c>
      <c r="AX85" s="502">
        <v>6536400</v>
      </c>
      <c r="AY85" s="501">
        <f t="shared" si="70"/>
        <v>91224.97659711077</v>
      </c>
      <c r="AZ85" s="501">
        <f t="shared" si="71"/>
        <v>18179400</v>
      </c>
      <c r="BA85" s="505">
        <f t="shared" si="72"/>
        <v>4</v>
      </c>
      <c r="BB85" s="506">
        <v>4</v>
      </c>
      <c r="BC85" s="507" t="s">
        <v>1882</v>
      </c>
      <c r="BD85" s="455" t="s">
        <v>1789</v>
      </c>
      <c r="BE85" s="508">
        <v>45792</v>
      </c>
      <c r="BF85" s="509">
        <f t="shared" si="78"/>
        <v>45792</v>
      </c>
      <c r="BG85" s="486" t="s">
        <v>1790</v>
      </c>
      <c r="BH85" s="510" t="s">
        <v>1791</v>
      </c>
      <c r="BI85" s="511">
        <v>0.19</v>
      </c>
      <c r="BJ85" s="512" t="s">
        <v>1896</v>
      </c>
      <c r="BK85" s="513">
        <v>10</v>
      </c>
      <c r="BL85" s="514"/>
      <c r="BM85" s="514"/>
      <c r="BN85" s="515" t="s">
        <v>1794</v>
      </c>
      <c r="BO85" s="516"/>
      <c r="BP85" s="516"/>
    </row>
    <row r="86" spans="3:68" ht="40.15" customHeight="1" outlineLevel="1">
      <c r="C86" s="2608"/>
      <c r="D86" s="2611"/>
      <c r="E86" s="485">
        <v>5</v>
      </c>
      <c r="F86" s="485" t="s">
        <v>1786</v>
      </c>
      <c r="G86" s="486" t="s">
        <v>1897</v>
      </c>
      <c r="H86" s="487">
        <v>213.16</v>
      </c>
      <c r="I86" s="488">
        <f t="shared" si="16"/>
        <v>64.480899999999991</v>
      </c>
      <c r="J86" s="489">
        <v>79.5</v>
      </c>
      <c r="K86" s="488">
        <f t="shared" si="17"/>
        <v>24.048749999999998</v>
      </c>
      <c r="L86" s="490">
        <f t="shared" si="73"/>
        <v>0.37295927941452428</v>
      </c>
      <c r="M86" s="455">
        <v>43525</v>
      </c>
      <c r="N86" s="455">
        <v>45352</v>
      </c>
      <c r="O86" s="455">
        <v>45716</v>
      </c>
      <c r="P86" s="491">
        <f t="shared" si="74"/>
        <v>1</v>
      </c>
      <c r="Q86" s="492">
        <f t="shared" si="20"/>
        <v>12</v>
      </c>
      <c r="R86" s="493">
        <f t="shared" si="57"/>
        <v>9</v>
      </c>
      <c r="S86" s="494">
        <f t="shared" si="58"/>
        <v>0.57808219178082187</v>
      </c>
      <c r="T86" s="455">
        <v>45716</v>
      </c>
      <c r="U86" s="491">
        <f t="shared" si="75"/>
        <v>1</v>
      </c>
      <c r="V86" s="492">
        <f t="shared" si="83"/>
        <v>12</v>
      </c>
      <c r="W86" s="492">
        <f t="shared" si="76"/>
        <v>9</v>
      </c>
      <c r="X86" s="495">
        <v>3</v>
      </c>
      <c r="Y86" s="496">
        <f t="shared" si="79"/>
        <v>45624</v>
      </c>
      <c r="Z86" s="497">
        <v>2</v>
      </c>
      <c r="AA86" s="583">
        <f t="shared" si="60"/>
        <v>2</v>
      </c>
      <c r="AB86" s="499">
        <v>0</v>
      </c>
      <c r="AC86" s="500"/>
      <c r="AD86" s="501">
        <f t="shared" si="61"/>
        <v>0</v>
      </c>
      <c r="AE86" s="502">
        <v>0</v>
      </c>
      <c r="AF86" s="501">
        <f t="shared" si="80"/>
        <v>271378.45002339</v>
      </c>
      <c r="AG86" s="501">
        <f t="shared" si="77"/>
        <v>242609.10996760053</v>
      </c>
      <c r="AH86" s="501">
        <f t="shared" si="62"/>
        <v>509995.98330668471</v>
      </c>
      <c r="AI86" s="501">
        <f t="shared" si="63"/>
        <v>64378.75401863188</v>
      </c>
      <c r="AJ86" s="501">
        <f t="shared" si="64"/>
        <v>35559.367192455444</v>
      </c>
      <c r="AK86" s="501">
        <f t="shared" si="65"/>
        <v>32885000</v>
      </c>
      <c r="AL86" s="501">
        <f t="shared" si="81"/>
        <v>0</v>
      </c>
      <c r="AM86" s="502">
        <v>32885000</v>
      </c>
      <c r="AN86" s="502"/>
      <c r="AO86" s="502"/>
      <c r="AP86" s="502"/>
      <c r="AQ86" s="502"/>
      <c r="AR86" s="501">
        <f t="shared" si="66"/>
        <v>49814400</v>
      </c>
      <c r="AS86" s="501">
        <f t="shared" si="67"/>
        <v>41512000</v>
      </c>
      <c r="AT86" s="502">
        <v>4151200</v>
      </c>
      <c r="AU86" s="503">
        <f t="shared" si="82"/>
        <v>3459333.3333333335</v>
      </c>
      <c r="AV86" s="501">
        <f t="shared" si="68"/>
        <v>27514800</v>
      </c>
      <c r="AW86" s="504">
        <f t="shared" si="69"/>
        <v>27514800</v>
      </c>
      <c r="AX86" s="502">
        <v>2292900</v>
      </c>
      <c r="AY86" s="501">
        <f t="shared" si="70"/>
        <v>99938.121211087331</v>
      </c>
      <c r="AZ86" s="501">
        <f t="shared" si="71"/>
        <v>6444100</v>
      </c>
      <c r="BA86" s="505">
        <f t="shared" si="72"/>
        <v>1</v>
      </c>
      <c r="BB86" s="506">
        <v>1</v>
      </c>
      <c r="BC86" s="501"/>
      <c r="BD86" s="455" t="s">
        <v>1789</v>
      </c>
      <c r="BE86" s="508"/>
      <c r="BF86" s="509">
        <f t="shared" si="78"/>
        <v>0</v>
      </c>
      <c r="BG86" s="486" t="s">
        <v>1790</v>
      </c>
      <c r="BH86" s="510" t="s">
        <v>1791</v>
      </c>
      <c r="BI86" s="511">
        <v>0.19</v>
      </c>
      <c r="BJ86" s="519" t="s">
        <v>1898</v>
      </c>
      <c r="BK86" s="513">
        <v>10</v>
      </c>
      <c r="BL86" s="514"/>
      <c r="BM86" s="514"/>
      <c r="BN86" s="515" t="s">
        <v>1794</v>
      </c>
      <c r="BO86" s="516"/>
      <c r="BP86" s="516"/>
    </row>
    <row r="87" spans="3:68" ht="40.15" customHeight="1" outlineLevel="1">
      <c r="C87" s="2608"/>
      <c r="D87" s="2611"/>
      <c r="E87" s="485">
        <v>6</v>
      </c>
      <c r="F87" s="485" t="s">
        <v>1786</v>
      </c>
      <c r="G87" s="486" t="s">
        <v>656</v>
      </c>
      <c r="H87" s="487">
        <v>193.36</v>
      </c>
      <c r="I87" s="488">
        <f t="shared" si="16"/>
        <v>58.491400000000006</v>
      </c>
      <c r="J87" s="489">
        <v>72.13</v>
      </c>
      <c r="K87" s="488">
        <f t="shared" si="17"/>
        <v>21.819324999999999</v>
      </c>
      <c r="L87" s="490">
        <f t="shared" si="73"/>
        <v>0.37303475382705831</v>
      </c>
      <c r="M87" s="455">
        <v>44136</v>
      </c>
      <c r="N87" s="455">
        <v>45231</v>
      </c>
      <c r="O87" s="455">
        <v>47057</v>
      </c>
      <c r="P87" s="491">
        <f t="shared" si="74"/>
        <v>5</v>
      </c>
      <c r="Q87" s="492">
        <f t="shared" si="20"/>
        <v>60</v>
      </c>
      <c r="R87" s="493">
        <f t="shared" si="57"/>
        <v>53</v>
      </c>
      <c r="S87" s="494">
        <f t="shared" si="58"/>
        <v>4.2520547945205482</v>
      </c>
      <c r="T87" s="455">
        <v>45961</v>
      </c>
      <c r="U87" s="491">
        <f t="shared" si="75"/>
        <v>2</v>
      </c>
      <c r="V87" s="492">
        <f t="shared" si="83"/>
        <v>24</v>
      </c>
      <c r="W87" s="492">
        <f t="shared" si="76"/>
        <v>17</v>
      </c>
      <c r="X87" s="495">
        <v>3</v>
      </c>
      <c r="Y87" s="496">
        <f t="shared" si="79"/>
        <v>46965</v>
      </c>
      <c r="Z87" s="497">
        <v>15</v>
      </c>
      <c r="AA87" s="583">
        <f t="shared" si="60"/>
        <v>3</v>
      </c>
      <c r="AB87" s="499">
        <v>0</v>
      </c>
      <c r="AC87" s="500"/>
      <c r="AD87" s="501">
        <f t="shared" si="61"/>
        <v>0</v>
      </c>
      <c r="AE87" s="502">
        <v>0</v>
      </c>
      <c r="AF87" s="501">
        <f t="shared" si="80"/>
        <v>257500.06015309822</v>
      </c>
      <c r="AG87" s="501">
        <f t="shared" si="77"/>
        <v>216440.81565309651</v>
      </c>
      <c r="AH87" s="501">
        <f t="shared" si="62"/>
        <v>550080.86658893444</v>
      </c>
      <c r="AI87" s="501">
        <f t="shared" si="63"/>
        <v>61266.100657532552</v>
      </c>
      <c r="AJ87" s="501">
        <f t="shared" si="64"/>
        <v>33415.168725658812</v>
      </c>
      <c r="AK87" s="501">
        <f t="shared" si="65"/>
        <v>32175000</v>
      </c>
      <c r="AL87" s="501">
        <f t="shared" si="81"/>
        <v>0</v>
      </c>
      <c r="AM87" s="502">
        <v>32175000</v>
      </c>
      <c r="AN87" s="502"/>
      <c r="AO87" s="502"/>
      <c r="AP87" s="502"/>
      <c r="AQ87" s="502"/>
      <c r="AR87" s="501">
        <f t="shared" si="66"/>
        <v>215012400</v>
      </c>
      <c r="AS87" s="501">
        <f t="shared" si="67"/>
        <v>161259300</v>
      </c>
      <c r="AT87" s="502">
        <v>3583540</v>
      </c>
      <c r="AU87" s="503">
        <f t="shared" si="82"/>
        <v>2687655</v>
      </c>
      <c r="AV87" s="501">
        <f t="shared" si="68"/>
        <v>117270000</v>
      </c>
      <c r="AW87" s="504">
        <f t="shared" si="69"/>
        <v>117270000</v>
      </c>
      <c r="AX87" s="502">
        <v>1954500</v>
      </c>
      <c r="AY87" s="501">
        <f t="shared" si="70"/>
        <v>94681.269383191364</v>
      </c>
      <c r="AZ87" s="501">
        <f t="shared" si="71"/>
        <v>5538040</v>
      </c>
      <c r="BA87" s="505">
        <f t="shared" si="72"/>
        <v>1</v>
      </c>
      <c r="BB87" s="506">
        <v>1</v>
      </c>
      <c r="BC87" s="507" t="s">
        <v>1804</v>
      </c>
      <c r="BD87" s="455" t="s">
        <v>1789</v>
      </c>
      <c r="BE87" s="508">
        <v>45597</v>
      </c>
      <c r="BF87" s="509">
        <f t="shared" si="78"/>
        <v>45597</v>
      </c>
      <c r="BG87" s="486" t="s">
        <v>1790</v>
      </c>
      <c r="BH87" s="510" t="s">
        <v>1791</v>
      </c>
      <c r="BI87" s="511">
        <v>0.19</v>
      </c>
      <c r="BJ87" s="512" t="s">
        <v>1899</v>
      </c>
      <c r="BK87" s="513">
        <v>10</v>
      </c>
      <c r="BL87" s="514"/>
      <c r="BM87" s="514"/>
      <c r="BN87" s="515" t="s">
        <v>1794</v>
      </c>
      <c r="BO87" s="516"/>
      <c r="BP87" s="516"/>
    </row>
    <row r="88" spans="3:68" ht="40.15" customHeight="1" outlineLevel="1">
      <c r="C88" s="2608"/>
      <c r="D88" s="2612"/>
      <c r="E88" s="485">
        <v>7</v>
      </c>
      <c r="F88" s="485" t="s">
        <v>1786</v>
      </c>
      <c r="G88" s="486" t="s">
        <v>1900</v>
      </c>
      <c r="H88" s="487">
        <v>172.16</v>
      </c>
      <c r="I88" s="488">
        <f t="shared" si="16"/>
        <v>52.078399999999995</v>
      </c>
      <c r="J88" s="489">
        <v>64.19</v>
      </c>
      <c r="K88" s="488">
        <f t="shared" si="17"/>
        <v>19.417475</v>
      </c>
      <c r="L88" s="490">
        <f t="shared" si="73"/>
        <v>0.37285083643122674</v>
      </c>
      <c r="M88" s="455">
        <v>43466</v>
      </c>
      <c r="N88" s="455">
        <v>44927</v>
      </c>
      <c r="O88" s="455">
        <v>45657</v>
      </c>
      <c r="P88" s="491">
        <f t="shared" si="74"/>
        <v>2</v>
      </c>
      <c r="Q88" s="492">
        <f t="shared" si="20"/>
        <v>24</v>
      </c>
      <c r="R88" s="493">
        <f t="shared" si="57"/>
        <v>7</v>
      </c>
      <c r="S88" s="494">
        <f t="shared" si="58"/>
        <v>0.41643835616438357</v>
      </c>
      <c r="T88" s="455">
        <v>45657</v>
      </c>
      <c r="U88" s="491">
        <f t="shared" si="75"/>
        <v>2</v>
      </c>
      <c r="V88" s="492">
        <f t="shared" si="83"/>
        <v>24</v>
      </c>
      <c r="W88" s="492">
        <f t="shared" si="76"/>
        <v>7</v>
      </c>
      <c r="X88" s="495">
        <v>3</v>
      </c>
      <c r="Y88" s="496">
        <f t="shared" si="79"/>
        <v>45565</v>
      </c>
      <c r="Z88" s="497">
        <v>2</v>
      </c>
      <c r="AA88" s="583">
        <f t="shared" si="60"/>
        <v>1</v>
      </c>
      <c r="AB88" s="499">
        <v>0</v>
      </c>
      <c r="AC88" s="500"/>
      <c r="AD88" s="501">
        <f t="shared" si="61"/>
        <v>0</v>
      </c>
      <c r="AE88" s="502">
        <v>0</v>
      </c>
      <c r="AF88" s="501">
        <f t="shared" si="80"/>
        <v>262253.26670949749</v>
      </c>
      <c r="AG88" s="501">
        <f t="shared" si="77"/>
        <v>248553.40786241944</v>
      </c>
      <c r="AH88" s="501">
        <f t="shared" si="62"/>
        <v>549911.28759716125</v>
      </c>
      <c r="AI88" s="501">
        <f t="shared" si="63"/>
        <v>61296.045961473479</v>
      </c>
      <c r="AJ88" s="501">
        <f t="shared" si="64"/>
        <v>35110.525668991373</v>
      </c>
      <c r="AK88" s="501">
        <f t="shared" si="65"/>
        <v>28638500</v>
      </c>
      <c r="AL88" s="501">
        <f t="shared" si="81"/>
        <v>0</v>
      </c>
      <c r="AM88" s="502">
        <v>28638500</v>
      </c>
      <c r="AN88" s="502"/>
      <c r="AO88" s="502"/>
      <c r="AP88" s="502"/>
      <c r="AQ88" s="502"/>
      <c r="AR88" s="501">
        <f t="shared" si="66"/>
        <v>76612800</v>
      </c>
      <c r="AS88" s="501">
        <f t="shared" si="67"/>
        <v>70228400</v>
      </c>
      <c r="AT88" s="502">
        <v>3192200</v>
      </c>
      <c r="AU88" s="503">
        <f t="shared" si="82"/>
        <v>2926183.3333333335</v>
      </c>
      <c r="AV88" s="501">
        <f t="shared" si="68"/>
        <v>43884000.000000007</v>
      </c>
      <c r="AW88" s="504">
        <f t="shared" si="69"/>
        <v>43884000.000000007</v>
      </c>
      <c r="AX88" s="502">
        <v>1828500</v>
      </c>
      <c r="AY88" s="501">
        <f t="shared" si="70"/>
        <v>96406.571630464852</v>
      </c>
      <c r="AZ88" s="501">
        <f t="shared" si="71"/>
        <v>5020700</v>
      </c>
      <c r="BA88" s="505">
        <f t="shared" si="72"/>
        <v>1</v>
      </c>
      <c r="BB88" s="506">
        <v>1</v>
      </c>
      <c r="BC88" s="507" t="s">
        <v>1864</v>
      </c>
      <c r="BD88" s="455" t="s">
        <v>1789</v>
      </c>
      <c r="BE88" s="508"/>
      <c r="BF88" s="509">
        <f t="shared" si="78"/>
        <v>0</v>
      </c>
      <c r="BG88" s="486" t="s">
        <v>1790</v>
      </c>
      <c r="BH88" s="510" t="s">
        <v>1791</v>
      </c>
      <c r="BI88" s="511">
        <v>0.19</v>
      </c>
      <c r="BJ88" s="512" t="s">
        <v>1901</v>
      </c>
      <c r="BK88" s="513">
        <v>10</v>
      </c>
      <c r="BL88" s="514"/>
      <c r="BM88" s="514"/>
      <c r="BN88" s="515" t="s">
        <v>1794</v>
      </c>
      <c r="BO88" s="516"/>
      <c r="BP88" s="516"/>
    </row>
    <row r="89" spans="3:68" ht="40.15" customHeight="1" outlineLevel="1">
      <c r="C89" s="2608"/>
      <c r="D89" s="2610">
        <v>8</v>
      </c>
      <c r="E89" s="485">
        <v>1</v>
      </c>
      <c r="F89" s="485" t="s">
        <v>1786</v>
      </c>
      <c r="G89" s="486" t="s">
        <v>1902</v>
      </c>
      <c r="H89" s="487">
        <v>288.77</v>
      </c>
      <c r="I89" s="488">
        <f t="shared" si="16"/>
        <v>87.352924999999985</v>
      </c>
      <c r="J89" s="489">
        <v>109.67484599999999</v>
      </c>
      <c r="K89" s="488">
        <f t="shared" si="17"/>
        <v>33.176640914999993</v>
      </c>
      <c r="L89" s="490">
        <f t="shared" si="73"/>
        <v>0.37979999999999997</v>
      </c>
      <c r="M89" s="455">
        <v>43497</v>
      </c>
      <c r="N89" s="455">
        <v>44652</v>
      </c>
      <c r="O89" s="455">
        <v>45747</v>
      </c>
      <c r="P89" s="491">
        <f t="shared" si="74"/>
        <v>3</v>
      </c>
      <c r="Q89" s="492">
        <f t="shared" si="20"/>
        <v>36</v>
      </c>
      <c r="R89" s="493">
        <f t="shared" si="57"/>
        <v>10</v>
      </c>
      <c r="S89" s="494">
        <f t="shared" si="58"/>
        <v>0.66301369863013704</v>
      </c>
      <c r="T89" s="455">
        <v>45382</v>
      </c>
      <c r="U89" s="491">
        <f t="shared" si="75"/>
        <v>2</v>
      </c>
      <c r="V89" s="492">
        <f t="shared" si="83"/>
        <v>24</v>
      </c>
      <c r="W89" s="492" t="str">
        <f t="shared" si="76"/>
        <v>만료</v>
      </c>
      <c r="X89" s="495">
        <v>3</v>
      </c>
      <c r="Y89" s="496">
        <f t="shared" si="79"/>
        <v>45657</v>
      </c>
      <c r="Z89" s="497">
        <v>1</v>
      </c>
      <c r="AA89" s="605">
        <f t="shared" si="60"/>
        <v>0.33333333333333331</v>
      </c>
      <c r="AB89" s="499">
        <v>1</v>
      </c>
      <c r="AC89" s="500"/>
      <c r="AD89" s="501">
        <f t="shared" si="61"/>
        <v>0</v>
      </c>
      <c r="AE89" s="502">
        <v>0</v>
      </c>
      <c r="AF89" s="501">
        <f t="shared" si="80"/>
        <v>247119.65328271696</v>
      </c>
      <c r="AG89" s="501">
        <f t="shared" si="77"/>
        <v>238414.73343444426</v>
      </c>
      <c r="AH89" s="501">
        <f t="shared" si="62"/>
        <v>560942.86482106929</v>
      </c>
      <c r="AI89" s="501">
        <f t="shared" si="63"/>
        <v>59510.314050731569</v>
      </c>
      <c r="AJ89" s="501">
        <f t="shared" si="64"/>
        <v>32943.37310399166</v>
      </c>
      <c r="AK89" s="501">
        <f t="shared" si="65"/>
        <v>49000000</v>
      </c>
      <c r="AL89" s="501">
        <f t="shared" si="81"/>
        <v>0</v>
      </c>
      <c r="AM89" s="502"/>
      <c r="AN89" s="502">
        <v>49000000</v>
      </c>
      <c r="AO89" s="502"/>
      <c r="AP89" s="502"/>
      <c r="AQ89" s="502"/>
      <c r="AR89" s="501">
        <f t="shared" si="66"/>
        <v>187142400</v>
      </c>
      <c r="AS89" s="501">
        <f t="shared" si="67"/>
        <v>176745600</v>
      </c>
      <c r="AT89" s="502">
        <v>5198400</v>
      </c>
      <c r="AU89" s="503">
        <f t="shared" si="82"/>
        <v>4909600</v>
      </c>
      <c r="AV89" s="501">
        <f t="shared" si="68"/>
        <v>103597200.00000001</v>
      </c>
      <c r="AW89" s="504">
        <f t="shared" si="69"/>
        <v>103597200.00000001</v>
      </c>
      <c r="AX89" s="502">
        <v>2877700</v>
      </c>
      <c r="AY89" s="501">
        <f t="shared" si="70"/>
        <v>92453.687154723229</v>
      </c>
      <c r="AZ89" s="501">
        <f t="shared" si="71"/>
        <v>8076100</v>
      </c>
      <c r="BA89" s="505">
        <f t="shared" si="72"/>
        <v>2</v>
      </c>
      <c r="BB89" s="506">
        <v>2</v>
      </c>
      <c r="BC89" s="507" t="s">
        <v>1868</v>
      </c>
      <c r="BD89" s="455" t="s">
        <v>1789</v>
      </c>
      <c r="BE89" s="508"/>
      <c r="BF89" s="509">
        <f t="shared" si="78"/>
        <v>0</v>
      </c>
      <c r="BG89" s="486" t="s">
        <v>1790</v>
      </c>
      <c r="BH89" s="510" t="s">
        <v>1791</v>
      </c>
      <c r="BI89" s="511">
        <v>0.19</v>
      </c>
      <c r="BJ89" s="519" t="s">
        <v>1903</v>
      </c>
      <c r="BK89" s="513">
        <v>10</v>
      </c>
      <c r="BL89" s="950" t="s">
        <v>1904</v>
      </c>
      <c r="BM89" s="950" t="s">
        <v>1905</v>
      </c>
      <c r="BN89" s="515" t="s">
        <v>1794</v>
      </c>
      <c r="BO89" s="516"/>
      <c r="BP89" s="516"/>
    </row>
    <row r="90" spans="3:68" ht="40.15" customHeight="1" outlineLevel="1">
      <c r="C90" s="2608"/>
      <c r="D90" s="2611"/>
      <c r="E90" s="485">
        <v>2</v>
      </c>
      <c r="F90" s="485" t="s">
        <v>1786</v>
      </c>
      <c r="G90" s="486" t="s">
        <v>1696</v>
      </c>
      <c r="H90" s="487">
        <v>516.25</v>
      </c>
      <c r="I90" s="488">
        <f t="shared" si="16"/>
        <v>156.16562500000001</v>
      </c>
      <c r="J90" s="489">
        <v>196.05</v>
      </c>
      <c r="K90" s="488">
        <f t="shared" si="17"/>
        <v>59.305125000000004</v>
      </c>
      <c r="L90" s="490">
        <f t="shared" si="73"/>
        <v>0.3797578692493947</v>
      </c>
      <c r="M90" s="455">
        <v>45261</v>
      </c>
      <c r="N90" s="455">
        <v>45261</v>
      </c>
      <c r="O90" s="455">
        <v>46356</v>
      </c>
      <c r="P90" s="491">
        <f t="shared" si="74"/>
        <v>3</v>
      </c>
      <c r="Q90" s="492">
        <f t="shared" si="20"/>
        <v>36</v>
      </c>
      <c r="R90" s="493">
        <f t="shared" si="57"/>
        <v>30</v>
      </c>
      <c r="S90" s="494">
        <f t="shared" si="58"/>
        <v>2.3315068493150686</v>
      </c>
      <c r="T90" s="455">
        <v>45626</v>
      </c>
      <c r="U90" s="491">
        <f t="shared" si="75"/>
        <v>1</v>
      </c>
      <c r="V90" s="492">
        <f t="shared" si="83"/>
        <v>12</v>
      </c>
      <c r="W90" s="492">
        <f t="shared" si="76"/>
        <v>6</v>
      </c>
      <c r="X90" s="495">
        <v>3</v>
      </c>
      <c r="Y90" s="496">
        <f t="shared" si="79"/>
        <v>46264</v>
      </c>
      <c r="Z90" s="497">
        <v>9</v>
      </c>
      <c r="AA90" s="583">
        <f t="shared" si="60"/>
        <v>3</v>
      </c>
      <c r="AB90" s="499">
        <v>1</v>
      </c>
      <c r="AC90" s="500">
        <v>-1</v>
      </c>
      <c r="AD90" s="501">
        <f t="shared" si="61"/>
        <v>0</v>
      </c>
      <c r="AE90" s="502">
        <v>0</v>
      </c>
      <c r="AF90" s="501">
        <f t="shared" si="80"/>
        <v>238118.41303765905</v>
      </c>
      <c r="AG90" s="501">
        <f t="shared" si="77"/>
        <v>198764.68470848381</v>
      </c>
      <c r="AH90" s="501">
        <f t="shared" si="62"/>
        <v>570015.96862305643</v>
      </c>
      <c r="AI90" s="501">
        <f t="shared" si="63"/>
        <v>57001.660896884314</v>
      </c>
      <c r="AJ90" s="501">
        <f t="shared" si="64"/>
        <v>32000.640345786724</v>
      </c>
      <c r="AK90" s="501">
        <f t="shared" si="65"/>
        <v>89016900</v>
      </c>
      <c r="AL90" s="501">
        <f t="shared" si="81"/>
        <v>0</v>
      </c>
      <c r="AM90" s="502">
        <v>89016900</v>
      </c>
      <c r="AN90" s="502"/>
      <c r="AO90" s="502"/>
      <c r="AP90" s="502"/>
      <c r="AQ90" s="502"/>
      <c r="AR90" s="501">
        <f t="shared" si="66"/>
        <v>320461200</v>
      </c>
      <c r="AS90" s="501">
        <f t="shared" si="67"/>
        <v>231444200</v>
      </c>
      <c r="AT90" s="502">
        <v>8901700</v>
      </c>
      <c r="AU90" s="503">
        <f t="shared" si="82"/>
        <v>6429005.555555556</v>
      </c>
      <c r="AV90" s="501">
        <f t="shared" si="68"/>
        <v>179906400</v>
      </c>
      <c r="AW90" s="504">
        <f t="shared" si="69"/>
        <v>184903800</v>
      </c>
      <c r="AX90" s="502">
        <v>4997400</v>
      </c>
      <c r="AY90" s="501">
        <f t="shared" si="70"/>
        <v>89002.301242671034</v>
      </c>
      <c r="AZ90" s="501">
        <f t="shared" si="71"/>
        <v>13899100</v>
      </c>
      <c r="BA90" s="505">
        <f t="shared" si="72"/>
        <v>3</v>
      </c>
      <c r="BB90" s="506">
        <v>3</v>
      </c>
      <c r="BC90" s="507" t="s">
        <v>1868</v>
      </c>
      <c r="BD90" s="455" t="s">
        <v>1789</v>
      </c>
      <c r="BE90" s="508">
        <v>45627</v>
      </c>
      <c r="BF90" s="509">
        <f t="shared" si="78"/>
        <v>45627</v>
      </c>
      <c r="BG90" s="486" t="s">
        <v>1790</v>
      </c>
      <c r="BH90" s="510" t="s">
        <v>1791</v>
      </c>
      <c r="BI90" s="511">
        <v>0.19</v>
      </c>
      <c r="BJ90" s="512" t="s">
        <v>1906</v>
      </c>
      <c r="BK90" s="513">
        <v>10</v>
      </c>
      <c r="BL90" s="514"/>
      <c r="BM90" s="514"/>
      <c r="BN90" s="515" t="s">
        <v>1794</v>
      </c>
      <c r="BO90" s="516"/>
      <c r="BP90" s="516"/>
    </row>
    <row r="91" spans="3:68" ht="40.15" customHeight="1" outlineLevel="1">
      <c r="C91" s="2608"/>
      <c r="D91" s="2611"/>
      <c r="E91" s="485">
        <v>3</v>
      </c>
      <c r="F91" s="485" t="s">
        <v>1786</v>
      </c>
      <c r="G91" s="486" t="s">
        <v>656</v>
      </c>
      <c r="H91" s="487">
        <v>618.26</v>
      </c>
      <c r="I91" s="488">
        <f t="shared" si="16"/>
        <v>187.02365</v>
      </c>
      <c r="J91" s="489">
        <v>234.79</v>
      </c>
      <c r="K91" s="488">
        <f t="shared" si="17"/>
        <v>71.023974999999993</v>
      </c>
      <c r="L91" s="490">
        <f t="shared" si="73"/>
        <v>0.37975932455601202</v>
      </c>
      <c r="M91" s="455">
        <v>43160</v>
      </c>
      <c r="N91" s="455">
        <v>45352</v>
      </c>
      <c r="O91" s="455">
        <v>46953</v>
      </c>
      <c r="P91" s="491">
        <f t="shared" si="74"/>
        <v>4.416666666666667</v>
      </c>
      <c r="Q91" s="492">
        <f t="shared" si="20"/>
        <v>53</v>
      </c>
      <c r="R91" s="493">
        <f t="shared" si="57"/>
        <v>50</v>
      </c>
      <c r="S91" s="494">
        <f t="shared" si="58"/>
        <v>3.967123287671233</v>
      </c>
      <c r="T91" s="455">
        <v>46222</v>
      </c>
      <c r="U91" s="491">
        <f t="shared" si="75"/>
        <v>2.4166666666666665</v>
      </c>
      <c r="V91" s="492">
        <f t="shared" si="83"/>
        <v>29</v>
      </c>
      <c r="W91" s="492">
        <f t="shared" si="76"/>
        <v>26</v>
      </c>
      <c r="X91" s="495">
        <v>4</v>
      </c>
      <c r="Y91" s="496">
        <f t="shared" si="79"/>
        <v>46831</v>
      </c>
      <c r="Z91" s="497">
        <v>12</v>
      </c>
      <c r="AA91" s="583">
        <f t="shared" si="60"/>
        <v>2.716981132075472</v>
      </c>
      <c r="AB91" s="499">
        <v>0</v>
      </c>
      <c r="AC91" s="500"/>
      <c r="AD91" s="501">
        <f t="shared" si="61"/>
        <v>0</v>
      </c>
      <c r="AE91" s="502">
        <v>0</v>
      </c>
      <c r="AF91" s="501">
        <f t="shared" si="80"/>
        <v>264644.80480006931</v>
      </c>
      <c r="AG91" s="501">
        <f t="shared" si="77"/>
        <v>226908.09236240698</v>
      </c>
      <c r="AH91" s="501">
        <f t="shared" si="62"/>
        <v>519989.85155085998</v>
      </c>
      <c r="AI91" s="501">
        <f t="shared" si="63"/>
        <v>63294.668882785678</v>
      </c>
      <c r="AJ91" s="501">
        <f t="shared" si="64"/>
        <v>35906.68880646913</v>
      </c>
      <c r="AK91" s="501">
        <f t="shared" si="65"/>
        <v>97250400</v>
      </c>
      <c r="AL91" s="501">
        <f t="shared" si="81"/>
        <v>0</v>
      </c>
      <c r="AM91" s="502">
        <v>97250400</v>
      </c>
      <c r="AN91" s="502"/>
      <c r="AO91" s="502"/>
      <c r="AP91" s="502"/>
      <c r="AQ91" s="502"/>
      <c r="AR91" s="501">
        <f t="shared" si="66"/>
        <v>627392800</v>
      </c>
      <c r="AS91" s="501">
        <f t="shared" si="67"/>
        <v>485341600</v>
      </c>
      <c r="AT91" s="502">
        <v>11837600</v>
      </c>
      <c r="AU91" s="503">
        <f t="shared" si="82"/>
        <v>9157388.6792452838</v>
      </c>
      <c r="AV91" s="501">
        <f t="shared" si="68"/>
        <v>355916200</v>
      </c>
      <c r="AW91" s="504">
        <f t="shared" si="69"/>
        <v>355916200</v>
      </c>
      <c r="AX91" s="502">
        <v>6715400</v>
      </c>
      <c r="AY91" s="501">
        <f t="shared" si="70"/>
        <v>99201.357689254801</v>
      </c>
      <c r="AZ91" s="501">
        <f t="shared" si="71"/>
        <v>18553000</v>
      </c>
      <c r="BA91" s="505">
        <f t="shared" si="72"/>
        <v>4</v>
      </c>
      <c r="BB91" s="506">
        <v>4</v>
      </c>
      <c r="BC91" s="507" t="s">
        <v>1804</v>
      </c>
      <c r="BD91" s="455" t="s">
        <v>1789</v>
      </c>
      <c r="BE91" s="508">
        <v>45717</v>
      </c>
      <c r="BF91" s="509">
        <f t="shared" si="78"/>
        <v>45717</v>
      </c>
      <c r="BG91" s="486" t="s">
        <v>1907</v>
      </c>
      <c r="BH91" s="510" t="s">
        <v>1791</v>
      </c>
      <c r="BI91" s="511">
        <v>0.19</v>
      </c>
      <c r="BJ91" s="512" t="s">
        <v>1908</v>
      </c>
      <c r="BK91" s="513">
        <v>10</v>
      </c>
      <c r="BL91" s="510" t="s">
        <v>1909</v>
      </c>
      <c r="BM91" s="514"/>
      <c r="BN91" s="515" t="s">
        <v>1794</v>
      </c>
      <c r="BO91" s="516"/>
      <c r="BP91" s="516"/>
    </row>
    <row r="92" spans="3:68" ht="40.15" customHeight="1" outlineLevel="1">
      <c r="C92" s="2608"/>
      <c r="D92" s="2611"/>
      <c r="E92" s="485">
        <v>4</v>
      </c>
      <c r="F92" s="485" t="s">
        <v>1786</v>
      </c>
      <c r="G92" s="486" t="s">
        <v>656</v>
      </c>
      <c r="H92" s="487">
        <v>388.52</v>
      </c>
      <c r="I92" s="488">
        <f t="shared" si="16"/>
        <v>117.5273</v>
      </c>
      <c r="J92" s="489">
        <v>147.56</v>
      </c>
      <c r="K92" s="488">
        <f t="shared" si="17"/>
        <v>44.636899999999997</v>
      </c>
      <c r="L92" s="490">
        <f t="shared" si="73"/>
        <v>0.37980026768248742</v>
      </c>
      <c r="M92" s="455">
        <v>45127</v>
      </c>
      <c r="N92" s="455">
        <v>45127</v>
      </c>
      <c r="O92" s="455">
        <v>46953</v>
      </c>
      <c r="P92" s="491">
        <f t="shared" si="74"/>
        <v>5</v>
      </c>
      <c r="Q92" s="492">
        <f t="shared" si="20"/>
        <v>60</v>
      </c>
      <c r="R92" s="493">
        <f t="shared" si="57"/>
        <v>50</v>
      </c>
      <c r="S92" s="494">
        <f t="shared" si="58"/>
        <v>3.967123287671233</v>
      </c>
      <c r="T92" s="455">
        <v>46222</v>
      </c>
      <c r="U92" s="491">
        <f t="shared" si="75"/>
        <v>3</v>
      </c>
      <c r="V92" s="492">
        <f t="shared" si="83"/>
        <v>36</v>
      </c>
      <c r="W92" s="492">
        <f t="shared" si="76"/>
        <v>26</v>
      </c>
      <c r="X92" s="495">
        <v>3</v>
      </c>
      <c r="Y92" s="496">
        <f t="shared" si="79"/>
        <v>46862</v>
      </c>
      <c r="Z92" s="497">
        <v>15</v>
      </c>
      <c r="AA92" s="583">
        <f t="shared" si="60"/>
        <v>3</v>
      </c>
      <c r="AB92" s="499">
        <v>1</v>
      </c>
      <c r="AC92" s="500"/>
      <c r="AD92" s="501">
        <f t="shared" si="61"/>
        <v>0</v>
      </c>
      <c r="AE92" s="502">
        <v>0</v>
      </c>
      <c r="AF92" s="501">
        <f t="shared" si="80"/>
        <v>242345.29055557176</v>
      </c>
      <c r="AG92" s="501">
        <f t="shared" si="77"/>
        <v>201845.46492550636</v>
      </c>
      <c r="AH92" s="501">
        <f t="shared" si="62"/>
        <v>560014.56682830292</v>
      </c>
      <c r="AI92" s="501">
        <f t="shared" si="63"/>
        <v>57681.917307723401</v>
      </c>
      <c r="AJ92" s="501">
        <f t="shared" si="64"/>
        <v>32960.852499802175</v>
      </c>
      <c r="AK92" s="501">
        <f t="shared" si="65"/>
        <v>65817000</v>
      </c>
      <c r="AL92" s="501">
        <f t="shared" si="81"/>
        <v>0</v>
      </c>
      <c r="AM92" s="502">
        <v>65817000</v>
      </c>
      <c r="AN92" s="502"/>
      <c r="AO92" s="502"/>
      <c r="AP92" s="502"/>
      <c r="AQ92" s="502"/>
      <c r="AR92" s="501">
        <f t="shared" si="66"/>
        <v>406752000</v>
      </c>
      <c r="AS92" s="501">
        <f t="shared" si="67"/>
        <v>298284800</v>
      </c>
      <c r="AT92" s="502">
        <v>6779200</v>
      </c>
      <c r="AU92" s="503">
        <f t="shared" si="82"/>
        <v>4971413.333333333</v>
      </c>
      <c r="AV92" s="501">
        <f t="shared" si="68"/>
        <v>232428000</v>
      </c>
      <c r="AW92" s="504">
        <f t="shared" si="69"/>
        <v>232428000</v>
      </c>
      <c r="AX92" s="502">
        <v>3873800</v>
      </c>
      <c r="AY92" s="501">
        <f t="shared" si="70"/>
        <v>90642.769807525576</v>
      </c>
      <c r="AZ92" s="501">
        <f t="shared" si="71"/>
        <v>10653000</v>
      </c>
      <c r="BA92" s="505">
        <f t="shared" si="72"/>
        <v>2</v>
      </c>
      <c r="BB92" s="506">
        <v>2</v>
      </c>
      <c r="BC92" s="507" t="s">
        <v>1910</v>
      </c>
      <c r="BD92" s="455" t="s">
        <v>1789</v>
      </c>
      <c r="BE92" s="508">
        <v>45493</v>
      </c>
      <c r="BF92" s="509">
        <f t="shared" si="78"/>
        <v>45493</v>
      </c>
      <c r="BG92" s="486" t="s">
        <v>1790</v>
      </c>
      <c r="BH92" s="510" t="s">
        <v>1791</v>
      </c>
      <c r="BI92" s="511">
        <v>0.19</v>
      </c>
      <c r="BJ92" s="512" t="s">
        <v>1911</v>
      </c>
      <c r="BK92" s="513">
        <v>10</v>
      </c>
      <c r="BL92" s="514"/>
      <c r="BM92" s="514"/>
      <c r="BN92" s="515" t="s">
        <v>1794</v>
      </c>
      <c r="BO92" s="516"/>
      <c r="BP92" s="516"/>
    </row>
    <row r="93" spans="3:68" ht="40.15" customHeight="1" outlineLevel="1">
      <c r="C93" s="2608"/>
      <c r="D93" s="2612"/>
      <c r="E93" s="588">
        <v>5</v>
      </c>
      <c r="F93" s="588" t="s">
        <v>1813</v>
      </c>
      <c r="G93" s="589" t="s">
        <v>470</v>
      </c>
      <c r="H93" s="520">
        <v>329.58000000000004</v>
      </c>
      <c r="I93" s="590">
        <f t="shared" si="16"/>
        <v>99.697950000000006</v>
      </c>
      <c r="J93" s="521">
        <v>125.12515400000001</v>
      </c>
      <c r="K93" s="590">
        <f t="shared" si="17"/>
        <v>37.850359085000001</v>
      </c>
      <c r="L93" s="591">
        <f t="shared" si="73"/>
        <v>0.37965032465562226</v>
      </c>
      <c r="M93" s="522"/>
      <c r="N93" s="533"/>
      <c r="O93" s="533"/>
      <c r="P93" s="592">
        <f t="shared" si="74"/>
        <v>8.3333333333333329E-2</v>
      </c>
      <c r="Q93" s="593">
        <f t="shared" si="20"/>
        <v>1</v>
      </c>
      <c r="R93" s="594">
        <f t="shared" si="57"/>
        <v>0</v>
      </c>
      <c r="S93" s="523"/>
      <c r="T93" s="522"/>
      <c r="U93" s="592">
        <f t="shared" si="75"/>
        <v>8.3333333333333329E-2</v>
      </c>
      <c r="V93" s="593">
        <f t="shared" si="83"/>
        <v>1</v>
      </c>
      <c r="W93" s="593" t="str">
        <f t="shared" si="76"/>
        <v>만료</v>
      </c>
      <c r="X93" s="595"/>
      <c r="Y93" s="596">
        <f t="shared" si="79"/>
        <v>0</v>
      </c>
      <c r="Z93" s="597"/>
      <c r="AA93" s="598">
        <f t="shared" si="60"/>
        <v>0</v>
      </c>
      <c r="AB93" s="524"/>
      <c r="AC93" s="525"/>
      <c r="AD93" s="599">
        <f t="shared" si="61"/>
        <v>0</v>
      </c>
      <c r="AE93" s="527"/>
      <c r="AF93" s="599">
        <f t="shared" si="80"/>
        <v>0</v>
      </c>
      <c r="AG93" s="599"/>
      <c r="AH93" s="599">
        <f t="shared" si="62"/>
        <v>0</v>
      </c>
      <c r="AI93" s="599">
        <f t="shared" si="63"/>
        <v>0</v>
      </c>
      <c r="AJ93" s="599">
        <f t="shared" si="64"/>
        <v>0</v>
      </c>
      <c r="AK93" s="599">
        <f t="shared" si="65"/>
        <v>0</v>
      </c>
      <c r="AL93" s="599">
        <f t="shared" si="81"/>
        <v>0</v>
      </c>
      <c r="AM93" s="527"/>
      <c r="AN93" s="527"/>
      <c r="AO93" s="527"/>
      <c r="AP93" s="527"/>
      <c r="AQ93" s="527"/>
      <c r="AR93" s="599">
        <f t="shared" si="66"/>
        <v>0</v>
      </c>
      <c r="AS93" s="599">
        <f t="shared" si="67"/>
        <v>0</v>
      </c>
      <c r="AT93" s="527"/>
      <c r="AU93" s="526">
        <f t="shared" si="82"/>
        <v>0</v>
      </c>
      <c r="AV93" s="599">
        <f t="shared" si="68"/>
        <v>0</v>
      </c>
      <c r="AW93" s="600">
        <f t="shared" si="69"/>
        <v>0</v>
      </c>
      <c r="AX93" s="527"/>
      <c r="AY93" s="599">
        <f t="shared" si="70"/>
        <v>0</v>
      </c>
      <c r="AZ93" s="599">
        <f t="shared" si="71"/>
        <v>0</v>
      </c>
      <c r="BA93" s="601">
        <f t="shared" si="72"/>
        <v>2</v>
      </c>
      <c r="BB93" s="528"/>
      <c r="BC93" s="599"/>
      <c r="BD93" s="522"/>
      <c r="BE93" s="529"/>
      <c r="BF93" s="530">
        <f t="shared" si="78"/>
        <v>0</v>
      </c>
      <c r="BG93" s="589"/>
      <c r="BH93" s="602"/>
      <c r="BI93" s="531"/>
      <c r="BJ93" s="603"/>
      <c r="BK93" s="532"/>
      <c r="BL93" s="602"/>
      <c r="BM93" s="602"/>
      <c r="BN93" s="533"/>
      <c r="BO93" s="516"/>
      <c r="BP93" s="516"/>
    </row>
    <row r="94" spans="3:68" ht="40.15" customHeight="1" outlineLevel="1">
      <c r="C94" s="2608"/>
      <c r="D94" s="2610">
        <v>7</v>
      </c>
      <c r="E94" s="485">
        <v>1</v>
      </c>
      <c r="F94" s="485" t="s">
        <v>1786</v>
      </c>
      <c r="G94" s="486" t="s">
        <v>1912</v>
      </c>
      <c r="H94" s="487">
        <f>619.42+145.37</f>
        <v>764.79</v>
      </c>
      <c r="I94" s="488">
        <f t="shared" si="16"/>
        <v>231.348975</v>
      </c>
      <c r="J94" s="489">
        <v>280.52497199999999</v>
      </c>
      <c r="K94" s="488">
        <f t="shared" si="17"/>
        <v>84.858804030000002</v>
      </c>
      <c r="L94" s="490">
        <f t="shared" si="73"/>
        <v>0.36680000000000001</v>
      </c>
      <c r="M94" s="455">
        <v>43191</v>
      </c>
      <c r="N94" s="455">
        <v>45047</v>
      </c>
      <c r="O94" s="455">
        <v>46873</v>
      </c>
      <c r="P94" s="491">
        <f t="shared" si="74"/>
        <v>5</v>
      </c>
      <c r="Q94" s="492">
        <f t="shared" si="20"/>
        <v>60</v>
      </c>
      <c r="R94" s="493">
        <f t="shared" si="57"/>
        <v>47</v>
      </c>
      <c r="S94" s="494">
        <f t="shared" si="58"/>
        <v>3.7479452054794522</v>
      </c>
      <c r="T94" s="455">
        <v>46142</v>
      </c>
      <c r="U94" s="491">
        <f t="shared" si="75"/>
        <v>3</v>
      </c>
      <c r="V94" s="492">
        <f t="shared" si="83"/>
        <v>36</v>
      </c>
      <c r="W94" s="492">
        <f t="shared" si="76"/>
        <v>23</v>
      </c>
      <c r="X94" s="495">
        <v>3</v>
      </c>
      <c r="Y94" s="496">
        <f t="shared" si="79"/>
        <v>46782</v>
      </c>
      <c r="Z94" s="497">
        <v>10</v>
      </c>
      <c r="AA94" s="583">
        <f t="shared" si="60"/>
        <v>2</v>
      </c>
      <c r="AB94" s="499">
        <v>0</v>
      </c>
      <c r="AC94" s="500"/>
      <c r="AD94" s="501">
        <f t="shared" si="61"/>
        <v>0</v>
      </c>
      <c r="AE94" s="502">
        <v>0</v>
      </c>
      <c r="AF94" s="501">
        <f t="shared" si="80"/>
        <v>249555.82424478556</v>
      </c>
      <c r="AG94" s="501">
        <f t="shared" si="77"/>
        <v>224400.26585135644</v>
      </c>
      <c r="AH94" s="501">
        <f t="shared" si="62"/>
        <v>509995.57171746943</v>
      </c>
      <c r="AI94" s="501">
        <f t="shared" si="63"/>
        <v>55362.352912258859</v>
      </c>
      <c r="AJ94" s="501">
        <f t="shared" si="64"/>
        <v>34899.734491434821</v>
      </c>
      <c r="AK94" s="501">
        <f t="shared" si="65"/>
        <v>117986952.77137554</v>
      </c>
      <c r="AL94" s="501">
        <f t="shared" si="81"/>
        <v>0</v>
      </c>
      <c r="AM94" s="502">
        <v>117986952.77137554</v>
      </c>
      <c r="AN94" s="502"/>
      <c r="AO94" s="502"/>
      <c r="AP94" s="502"/>
      <c r="AQ94" s="502"/>
      <c r="AR94" s="501">
        <f t="shared" si="66"/>
        <v>768481415.99036109</v>
      </c>
      <c r="AS94" s="501">
        <f t="shared" si="67"/>
        <v>640401179.99196756</v>
      </c>
      <c r="AT94" s="502">
        <v>12808023.599839352</v>
      </c>
      <c r="AU94" s="503">
        <f t="shared" si="82"/>
        <v>10673352.999866126</v>
      </c>
      <c r="AV94" s="501">
        <f t="shared" si="68"/>
        <v>484441068.14193553</v>
      </c>
      <c r="AW94" s="504">
        <f t="shared" si="69"/>
        <v>484441068.14193553</v>
      </c>
      <c r="AX94" s="502">
        <v>8074017.8023655927</v>
      </c>
      <c r="AY94" s="501">
        <f t="shared" si="70"/>
        <v>90262.087403693688</v>
      </c>
      <c r="AZ94" s="501">
        <f t="shared" si="71"/>
        <v>20882041.402204946</v>
      </c>
      <c r="BA94" s="505">
        <f t="shared" si="72"/>
        <v>5</v>
      </c>
      <c r="BB94" s="506">
        <v>4.1507676053535185</v>
      </c>
      <c r="BC94" s="507" t="s">
        <v>1864</v>
      </c>
      <c r="BD94" s="455" t="s">
        <v>1789</v>
      </c>
      <c r="BE94" s="508">
        <v>45778</v>
      </c>
      <c r="BF94" s="509">
        <f t="shared" si="78"/>
        <v>45778</v>
      </c>
      <c r="BG94" s="486" t="s">
        <v>1844</v>
      </c>
      <c r="BH94" s="510" t="s">
        <v>1791</v>
      </c>
      <c r="BI94" s="511">
        <v>0.19</v>
      </c>
      <c r="BJ94" s="512" t="s">
        <v>1913</v>
      </c>
      <c r="BK94" s="513">
        <v>10</v>
      </c>
      <c r="BL94" s="514"/>
      <c r="BM94" s="514"/>
      <c r="BN94" s="515" t="s">
        <v>1794</v>
      </c>
      <c r="BO94" s="516"/>
      <c r="BP94" s="516"/>
    </row>
    <row r="95" spans="3:68" ht="40.15" customHeight="1" outlineLevel="1">
      <c r="C95" s="2608"/>
      <c r="D95" s="2611"/>
      <c r="E95" s="485">
        <v>2</v>
      </c>
      <c r="F95" s="485" t="s">
        <v>1786</v>
      </c>
      <c r="G95" s="486" t="s">
        <v>1912</v>
      </c>
      <c r="H95" s="487">
        <v>1291.42</v>
      </c>
      <c r="I95" s="488">
        <f t="shared" si="16"/>
        <v>390.65455000000003</v>
      </c>
      <c r="J95" s="489">
        <v>473.69285600000001</v>
      </c>
      <c r="K95" s="488">
        <f t="shared" si="17"/>
        <v>143.29208893999999</v>
      </c>
      <c r="L95" s="490">
        <f t="shared" si="73"/>
        <v>0.36679999999999996</v>
      </c>
      <c r="M95" s="455">
        <v>44295</v>
      </c>
      <c r="N95" s="455">
        <v>45391</v>
      </c>
      <c r="O95" s="455">
        <v>47216</v>
      </c>
      <c r="P95" s="491">
        <f t="shared" si="74"/>
        <v>5</v>
      </c>
      <c r="Q95" s="492">
        <f t="shared" si="20"/>
        <v>60</v>
      </c>
      <c r="R95" s="493">
        <f t="shared" si="57"/>
        <v>58</v>
      </c>
      <c r="S95" s="494">
        <f t="shared" si="58"/>
        <v>4.6876712328767125</v>
      </c>
      <c r="T95" s="455">
        <v>46120</v>
      </c>
      <c r="U95" s="491">
        <f t="shared" si="75"/>
        <v>2</v>
      </c>
      <c r="V95" s="492">
        <f t="shared" si="83"/>
        <v>24</v>
      </c>
      <c r="W95" s="492">
        <f t="shared" si="76"/>
        <v>22</v>
      </c>
      <c r="X95" s="495">
        <v>3</v>
      </c>
      <c r="Y95" s="496">
        <f t="shared" si="79"/>
        <v>47126</v>
      </c>
      <c r="Z95" s="497">
        <v>10</v>
      </c>
      <c r="AA95" s="583">
        <f t="shared" si="60"/>
        <v>2</v>
      </c>
      <c r="AB95" s="499">
        <v>0</v>
      </c>
      <c r="AC95" s="500"/>
      <c r="AD95" s="501">
        <f t="shared" si="61"/>
        <v>0</v>
      </c>
      <c r="AE95" s="502">
        <v>0</v>
      </c>
      <c r="AF95" s="501">
        <f t="shared" si="80"/>
        <v>247885.28287052276</v>
      </c>
      <c r="AG95" s="501">
        <f t="shared" si="77"/>
        <v>222415.39573068541</v>
      </c>
      <c r="AH95" s="501">
        <f t="shared" si="62"/>
        <v>353150.88484186347</v>
      </c>
      <c r="AI95" s="501">
        <f t="shared" si="63"/>
        <v>56054.127617353995</v>
      </c>
      <c r="AJ95" s="501">
        <f t="shared" si="64"/>
        <v>33987.316927449072</v>
      </c>
      <c r="AK95" s="501">
        <f t="shared" si="65"/>
        <v>137960000</v>
      </c>
      <c r="AL95" s="501">
        <f t="shared" si="81"/>
        <v>0</v>
      </c>
      <c r="AM95" s="502">
        <v>137960000</v>
      </c>
      <c r="AN95" s="502"/>
      <c r="AO95" s="502"/>
      <c r="AP95" s="502"/>
      <c r="AQ95" s="502"/>
      <c r="AR95" s="501">
        <f t="shared" si="66"/>
        <v>1313868000</v>
      </c>
      <c r="AS95" s="501">
        <f t="shared" si="67"/>
        <v>1094890000</v>
      </c>
      <c r="AT95" s="502">
        <v>21897800</v>
      </c>
      <c r="AU95" s="503">
        <f t="shared" si="82"/>
        <v>18248166.666666668</v>
      </c>
      <c r="AV95" s="501">
        <f t="shared" si="68"/>
        <v>796638000</v>
      </c>
      <c r="AW95" s="504">
        <f t="shared" si="69"/>
        <v>796638000</v>
      </c>
      <c r="AX95" s="502">
        <v>13277300</v>
      </c>
      <c r="AY95" s="501">
        <f t="shared" si="70"/>
        <v>90041.444544803075</v>
      </c>
      <c r="AZ95" s="501">
        <f t="shared" si="71"/>
        <v>35175100</v>
      </c>
      <c r="BA95" s="505">
        <f t="shared" si="72"/>
        <v>8</v>
      </c>
      <c r="BB95" s="506">
        <v>7</v>
      </c>
      <c r="BC95" s="507" t="s">
        <v>1914</v>
      </c>
      <c r="BD95" s="455" t="s">
        <v>1789</v>
      </c>
      <c r="BE95" s="508">
        <v>45756</v>
      </c>
      <c r="BF95" s="509">
        <f t="shared" si="78"/>
        <v>45756</v>
      </c>
      <c r="BG95" s="486" t="s">
        <v>1790</v>
      </c>
      <c r="BH95" s="510" t="s">
        <v>1791</v>
      </c>
      <c r="BI95" s="511">
        <v>0.19</v>
      </c>
      <c r="BJ95" s="512" t="s">
        <v>1915</v>
      </c>
      <c r="BK95" s="513">
        <v>10</v>
      </c>
      <c r="BL95" s="486" t="s">
        <v>1916</v>
      </c>
      <c r="BM95" s="514"/>
      <c r="BN95" s="515" t="s">
        <v>1794</v>
      </c>
      <c r="BO95" s="516"/>
      <c r="BP95" s="516"/>
    </row>
    <row r="96" spans="3:68" ht="40.15" customHeight="1" outlineLevel="1">
      <c r="C96" s="2608"/>
      <c r="D96" s="2611"/>
      <c r="E96" s="485">
        <v>3</v>
      </c>
      <c r="F96" s="485" t="s">
        <v>1786</v>
      </c>
      <c r="G96" s="486" t="s">
        <v>1696</v>
      </c>
      <c r="H96" s="487">
        <v>292.14999999999998</v>
      </c>
      <c r="I96" s="488">
        <f t="shared" si="16"/>
        <v>88.375374999999991</v>
      </c>
      <c r="J96" s="489">
        <v>107.17</v>
      </c>
      <c r="K96" s="488">
        <f t="shared" si="17"/>
        <v>32.418925000000002</v>
      </c>
      <c r="L96" s="490">
        <f t="shared" si="73"/>
        <v>0.36683210679445494</v>
      </c>
      <c r="M96" s="455">
        <v>43709</v>
      </c>
      <c r="N96" s="455">
        <v>44805</v>
      </c>
      <c r="O96" s="455">
        <v>45900</v>
      </c>
      <c r="P96" s="491">
        <f t="shared" si="74"/>
        <v>3</v>
      </c>
      <c r="Q96" s="492">
        <f t="shared" si="20"/>
        <v>36</v>
      </c>
      <c r="R96" s="493">
        <f t="shared" si="57"/>
        <v>15</v>
      </c>
      <c r="S96" s="494">
        <f t="shared" si="58"/>
        <v>1.0821917808219179</v>
      </c>
      <c r="T96" s="455"/>
      <c r="U96" s="491"/>
      <c r="V96" s="492"/>
      <c r="W96" s="492" t="str">
        <f t="shared" si="76"/>
        <v>만료</v>
      </c>
      <c r="X96" s="495">
        <v>3</v>
      </c>
      <c r="Y96" s="496">
        <f t="shared" si="79"/>
        <v>45808</v>
      </c>
      <c r="Z96" s="497">
        <v>6</v>
      </c>
      <c r="AA96" s="583">
        <f t="shared" si="60"/>
        <v>2</v>
      </c>
      <c r="AB96" s="499">
        <v>0</v>
      </c>
      <c r="AC96" s="500"/>
      <c r="AD96" s="501">
        <f t="shared" si="61"/>
        <v>0</v>
      </c>
      <c r="AE96" s="502">
        <v>0</v>
      </c>
      <c r="AF96" s="501">
        <f t="shared" si="80"/>
        <v>256342.24453771985</v>
      </c>
      <c r="AG96" s="501">
        <f t="shared" si="77"/>
        <v>230642.74956680395</v>
      </c>
      <c r="AH96" s="501">
        <f t="shared" si="62"/>
        <v>517519.72763906239</v>
      </c>
      <c r="AI96" s="501">
        <f t="shared" si="63"/>
        <v>56564.399302407495</v>
      </c>
      <c r="AJ96" s="501">
        <f t="shared" si="64"/>
        <v>36176.367002685991</v>
      </c>
      <c r="AK96" s="501">
        <f t="shared" si="65"/>
        <v>45736000</v>
      </c>
      <c r="AL96" s="501">
        <f t="shared" si="81"/>
        <v>0</v>
      </c>
      <c r="AM96" s="502">
        <v>45736000</v>
      </c>
      <c r="AN96" s="502"/>
      <c r="AO96" s="502"/>
      <c r="AP96" s="502"/>
      <c r="AQ96" s="502"/>
      <c r="AR96" s="501">
        <f t="shared" si="66"/>
        <v>179960400</v>
      </c>
      <c r="AS96" s="501">
        <f t="shared" si="67"/>
        <v>149967000</v>
      </c>
      <c r="AT96" s="502">
        <v>4998900</v>
      </c>
      <c r="AU96" s="503">
        <f t="shared" si="82"/>
        <v>4165750</v>
      </c>
      <c r="AV96" s="501">
        <f t="shared" si="68"/>
        <v>115095600</v>
      </c>
      <c r="AW96" s="504">
        <f t="shared" si="69"/>
        <v>115095600</v>
      </c>
      <c r="AX96" s="502">
        <v>3197100</v>
      </c>
      <c r="AY96" s="501">
        <f t="shared" si="70"/>
        <v>92740.766305093479</v>
      </c>
      <c r="AZ96" s="501">
        <f t="shared" si="71"/>
        <v>8196000</v>
      </c>
      <c r="BA96" s="505">
        <f t="shared" si="72"/>
        <v>2</v>
      </c>
      <c r="BB96" s="506">
        <v>2</v>
      </c>
      <c r="BC96" s="507" t="s">
        <v>1885</v>
      </c>
      <c r="BD96" s="455" t="s">
        <v>1789</v>
      </c>
      <c r="BE96" s="508">
        <v>45536</v>
      </c>
      <c r="BF96" s="509">
        <f t="shared" si="78"/>
        <v>45536</v>
      </c>
      <c r="BG96" s="486" t="s">
        <v>1790</v>
      </c>
      <c r="BH96" s="510" t="s">
        <v>1791</v>
      </c>
      <c r="BI96" s="511">
        <v>0.19</v>
      </c>
      <c r="BJ96" s="512" t="s">
        <v>1917</v>
      </c>
      <c r="BK96" s="513">
        <v>10</v>
      </c>
      <c r="BL96" s="514"/>
      <c r="BM96" s="514"/>
      <c r="BN96" s="515" t="s">
        <v>1794</v>
      </c>
      <c r="BO96" s="516"/>
      <c r="BP96" s="516"/>
    </row>
    <row r="97" spans="3:70" ht="40.15" customHeight="1" outlineLevel="1">
      <c r="C97" s="2608"/>
      <c r="D97" s="2610">
        <v>6</v>
      </c>
      <c r="E97" s="485">
        <v>1</v>
      </c>
      <c r="F97" s="485" t="s">
        <v>1786</v>
      </c>
      <c r="G97" s="486" t="s">
        <v>1832</v>
      </c>
      <c r="H97" s="487">
        <v>1374.68</v>
      </c>
      <c r="I97" s="488">
        <f t="shared" si="16"/>
        <v>415.84070000000003</v>
      </c>
      <c r="J97" s="489">
        <v>507.54</v>
      </c>
      <c r="K97" s="488">
        <f t="shared" si="17"/>
        <v>153.53085000000002</v>
      </c>
      <c r="L97" s="490">
        <f t="shared" si="73"/>
        <v>0.36920592428783428</v>
      </c>
      <c r="M97" s="455">
        <v>43831</v>
      </c>
      <c r="N97" s="455">
        <v>43831</v>
      </c>
      <c r="O97" s="455">
        <v>45657</v>
      </c>
      <c r="P97" s="491">
        <f t="shared" si="74"/>
        <v>5</v>
      </c>
      <c r="Q97" s="492">
        <f t="shared" si="20"/>
        <v>60</v>
      </c>
      <c r="R97" s="493">
        <f t="shared" si="57"/>
        <v>7</v>
      </c>
      <c r="S97" s="494">
        <f t="shared" si="58"/>
        <v>0.41643835616438357</v>
      </c>
      <c r="T97" s="455">
        <v>44926</v>
      </c>
      <c r="U97" s="491">
        <f t="shared" si="75"/>
        <v>3</v>
      </c>
      <c r="V97" s="492">
        <f t="shared" ref="V97:V104" si="84">DATEDIF(N97,T97,"m")+1</f>
        <v>36</v>
      </c>
      <c r="W97" s="492" t="str">
        <f t="shared" si="76"/>
        <v>만료</v>
      </c>
      <c r="X97" s="495">
        <v>3</v>
      </c>
      <c r="Y97" s="496">
        <f t="shared" si="79"/>
        <v>45565</v>
      </c>
      <c r="Z97" s="497">
        <v>27</v>
      </c>
      <c r="AA97" s="583">
        <f t="shared" si="60"/>
        <v>5.4</v>
      </c>
      <c r="AB97" s="497">
        <v>4.5999999999999996</v>
      </c>
      <c r="AC97" s="606">
        <v>2.5</v>
      </c>
      <c r="AD97" s="501">
        <f t="shared" si="61"/>
        <v>0</v>
      </c>
      <c r="AE97" s="502">
        <v>0</v>
      </c>
      <c r="AF97" s="501">
        <f t="shared" si="80"/>
        <v>243247.39946401649</v>
      </c>
      <c r="AG97" s="501">
        <f t="shared" si="77"/>
        <v>158099.1583559048</v>
      </c>
      <c r="AH97" s="501">
        <f t="shared" si="62"/>
        <v>549999.07416469813</v>
      </c>
      <c r="AI97" s="501">
        <f t="shared" si="63"/>
        <v>57221.671664173322</v>
      </c>
      <c r="AJ97" s="501">
        <f t="shared" si="64"/>
        <v>31211.711600139184</v>
      </c>
      <c r="AK97" s="501">
        <f t="shared" si="65"/>
        <v>228712000</v>
      </c>
      <c r="AL97" s="501">
        <f t="shared" si="81"/>
        <v>0</v>
      </c>
      <c r="AM97" s="502">
        <v>228712000</v>
      </c>
      <c r="AN97" s="502"/>
      <c r="AO97" s="502"/>
      <c r="AP97" s="502"/>
      <c r="AQ97" s="502"/>
      <c r="AR97" s="501">
        <f t="shared" si="66"/>
        <v>1427706000</v>
      </c>
      <c r="AS97" s="501">
        <f t="shared" si="67"/>
        <v>675780840</v>
      </c>
      <c r="AT97" s="502">
        <v>23795100</v>
      </c>
      <c r="AU97" s="503">
        <f t="shared" si="82"/>
        <v>11263014</v>
      </c>
      <c r="AV97" s="501">
        <f t="shared" si="68"/>
        <v>778746000</v>
      </c>
      <c r="AW97" s="504">
        <f t="shared" si="69"/>
        <v>746298250</v>
      </c>
      <c r="AX97" s="502">
        <v>12979100</v>
      </c>
      <c r="AY97" s="501">
        <f t="shared" si="70"/>
        <v>88433.383264312506</v>
      </c>
      <c r="AZ97" s="501">
        <f t="shared" si="71"/>
        <v>36774200</v>
      </c>
      <c r="BA97" s="505">
        <f t="shared" si="72"/>
        <v>8</v>
      </c>
      <c r="BB97" s="506">
        <v>8</v>
      </c>
      <c r="BC97" s="507" t="s">
        <v>1833</v>
      </c>
      <c r="BD97" s="455" t="s">
        <v>1789</v>
      </c>
      <c r="BE97" s="508"/>
      <c r="BF97" s="509">
        <f t="shared" si="78"/>
        <v>0</v>
      </c>
      <c r="BG97" s="486" t="s">
        <v>1790</v>
      </c>
      <c r="BH97" s="510" t="s">
        <v>1791</v>
      </c>
      <c r="BI97" s="511">
        <v>0.19</v>
      </c>
      <c r="BJ97" s="512" t="s">
        <v>1918</v>
      </c>
      <c r="BK97" s="513">
        <v>20</v>
      </c>
      <c r="BL97" s="607"/>
      <c r="BM97" s="950" t="s">
        <v>1919</v>
      </c>
      <c r="BN97" s="515" t="s">
        <v>1794</v>
      </c>
      <c r="BO97" s="516"/>
      <c r="BP97" s="516"/>
    </row>
    <row r="98" spans="3:70" ht="40.15" customHeight="1" outlineLevel="1">
      <c r="C98" s="2608"/>
      <c r="D98" s="2611"/>
      <c r="E98" s="485">
        <v>2</v>
      </c>
      <c r="F98" s="485" t="s">
        <v>1786</v>
      </c>
      <c r="G98" s="486" t="s">
        <v>1832</v>
      </c>
      <c r="H98" s="487">
        <v>798.62</v>
      </c>
      <c r="I98" s="488">
        <f t="shared" si="16"/>
        <v>241.58255</v>
      </c>
      <c r="J98" s="489">
        <v>294.83</v>
      </c>
      <c r="K98" s="488">
        <f t="shared" si="17"/>
        <v>89.186074999999988</v>
      </c>
      <c r="L98" s="490">
        <f t="shared" si="73"/>
        <v>0.36917432571185294</v>
      </c>
      <c r="M98" s="455">
        <v>44210</v>
      </c>
      <c r="N98" s="455">
        <v>44210</v>
      </c>
      <c r="O98" s="455">
        <v>45657</v>
      </c>
      <c r="P98" s="491">
        <f t="shared" si="74"/>
        <v>4</v>
      </c>
      <c r="Q98" s="492">
        <f t="shared" si="20"/>
        <v>48</v>
      </c>
      <c r="R98" s="493">
        <f t="shared" si="57"/>
        <v>7</v>
      </c>
      <c r="S98" s="494">
        <f t="shared" si="58"/>
        <v>0.41643835616438357</v>
      </c>
      <c r="T98" s="455">
        <v>44926</v>
      </c>
      <c r="U98" s="491">
        <f t="shared" si="75"/>
        <v>2</v>
      </c>
      <c r="V98" s="492">
        <f t="shared" si="84"/>
        <v>24</v>
      </c>
      <c r="W98" s="492" t="str">
        <f t="shared" si="76"/>
        <v>만료</v>
      </c>
      <c r="X98" s="495">
        <v>3</v>
      </c>
      <c r="Y98" s="496">
        <f t="shared" si="79"/>
        <v>45565</v>
      </c>
      <c r="Z98" s="497">
        <v>16</v>
      </c>
      <c r="AA98" s="583">
        <f t="shared" si="60"/>
        <v>4</v>
      </c>
      <c r="AB98" s="608">
        <v>2.0299999999999998</v>
      </c>
      <c r="AC98" s="609">
        <v>-2.0299999999999998</v>
      </c>
      <c r="AD98" s="501">
        <f t="shared" si="61"/>
        <v>0</v>
      </c>
      <c r="AE98" s="502">
        <v>0</v>
      </c>
      <c r="AF98" s="501">
        <f t="shared" si="80"/>
        <v>243274.3704664658</v>
      </c>
      <c r="AG98" s="501">
        <f t="shared" si="77"/>
        <v>188627.03365781417</v>
      </c>
      <c r="AH98" s="501">
        <f t="shared" si="62"/>
        <v>550016.96107603796</v>
      </c>
      <c r="AI98" s="501">
        <f t="shared" si="63"/>
        <v>57223.089995531547</v>
      </c>
      <c r="AJ98" s="501">
        <f t="shared" si="64"/>
        <v>31212.519281711364</v>
      </c>
      <c r="AK98" s="501">
        <f t="shared" si="65"/>
        <v>132874500</v>
      </c>
      <c r="AL98" s="501">
        <f t="shared" si="81"/>
        <v>0</v>
      </c>
      <c r="AM98" s="502">
        <v>132874500</v>
      </c>
      <c r="AN98" s="502"/>
      <c r="AO98" s="502"/>
      <c r="AP98" s="502"/>
      <c r="AQ98" s="502"/>
      <c r="AR98" s="501">
        <f t="shared" si="66"/>
        <v>663556800</v>
      </c>
      <c r="AS98" s="501">
        <f t="shared" si="67"/>
        <v>414308277</v>
      </c>
      <c r="AT98" s="502">
        <v>13824100</v>
      </c>
      <c r="AU98" s="503">
        <f t="shared" si="82"/>
        <v>8631422.4375</v>
      </c>
      <c r="AV98" s="501">
        <f t="shared" si="68"/>
        <v>361939200</v>
      </c>
      <c r="AW98" s="504">
        <f t="shared" si="69"/>
        <v>377246211.99999994</v>
      </c>
      <c r="AX98" s="502">
        <v>7540400</v>
      </c>
      <c r="AY98" s="501">
        <f t="shared" si="70"/>
        <v>88435.609277242911</v>
      </c>
      <c r="AZ98" s="501">
        <f t="shared" si="71"/>
        <v>21364500</v>
      </c>
      <c r="BA98" s="505">
        <f t="shared" si="72"/>
        <v>5</v>
      </c>
      <c r="BB98" s="506">
        <v>5</v>
      </c>
      <c r="BC98" s="507" t="s">
        <v>1920</v>
      </c>
      <c r="BD98" s="455" t="s">
        <v>1789</v>
      </c>
      <c r="BE98" s="508"/>
      <c r="BF98" s="509">
        <f t="shared" si="78"/>
        <v>0</v>
      </c>
      <c r="BG98" s="486" t="s">
        <v>1790</v>
      </c>
      <c r="BH98" s="510" t="s">
        <v>1791</v>
      </c>
      <c r="BI98" s="511">
        <v>0.19</v>
      </c>
      <c r="BJ98" s="512" t="s">
        <v>1921</v>
      </c>
      <c r="BK98" s="513">
        <v>20</v>
      </c>
      <c r="BL98" s="514"/>
      <c r="BM98" s="950" t="s">
        <v>1922</v>
      </c>
      <c r="BN98" s="515" t="s">
        <v>1794</v>
      </c>
      <c r="BO98" s="516"/>
      <c r="BP98" s="516"/>
      <c r="BR98" s="514">
        <v>2.0299999999999998</v>
      </c>
    </row>
    <row r="99" spans="3:70" ht="40.15" customHeight="1" outlineLevel="1">
      <c r="C99" s="2608"/>
      <c r="D99" s="485">
        <v>5</v>
      </c>
      <c r="E99" s="485"/>
      <c r="F99" s="485" t="s">
        <v>1786</v>
      </c>
      <c r="G99" s="486" t="s">
        <v>1912</v>
      </c>
      <c r="H99" s="487">
        <v>1999</v>
      </c>
      <c r="I99" s="488">
        <f t="shared" si="16"/>
        <v>604.69749999999999</v>
      </c>
      <c r="J99" s="489">
        <v>737.91</v>
      </c>
      <c r="K99" s="488">
        <f t="shared" si="17"/>
        <v>223.21777499999999</v>
      </c>
      <c r="L99" s="490">
        <f t="shared" si="73"/>
        <v>0.36913956978489243</v>
      </c>
      <c r="M99" s="455">
        <v>43191</v>
      </c>
      <c r="N99" s="455">
        <v>45047</v>
      </c>
      <c r="O99" s="455">
        <v>46873</v>
      </c>
      <c r="P99" s="491">
        <f t="shared" si="74"/>
        <v>5</v>
      </c>
      <c r="Q99" s="492">
        <f t="shared" si="20"/>
        <v>60</v>
      </c>
      <c r="R99" s="493">
        <f t="shared" si="57"/>
        <v>47</v>
      </c>
      <c r="S99" s="494">
        <f t="shared" si="58"/>
        <v>3.7479452054794522</v>
      </c>
      <c r="T99" s="455">
        <v>46142</v>
      </c>
      <c r="U99" s="491">
        <f t="shared" si="75"/>
        <v>3</v>
      </c>
      <c r="V99" s="492">
        <f t="shared" si="84"/>
        <v>36</v>
      </c>
      <c r="W99" s="492">
        <f t="shared" si="76"/>
        <v>23</v>
      </c>
      <c r="X99" s="495">
        <v>3</v>
      </c>
      <c r="Y99" s="496">
        <f t="shared" si="79"/>
        <v>46782</v>
      </c>
      <c r="Z99" s="497">
        <v>10</v>
      </c>
      <c r="AA99" s="583">
        <f t="shared" si="60"/>
        <v>2</v>
      </c>
      <c r="AB99" s="499">
        <v>0</v>
      </c>
      <c r="AC99" s="500"/>
      <c r="AD99" s="501">
        <f t="shared" si="61"/>
        <v>0</v>
      </c>
      <c r="AE99" s="502">
        <v>0</v>
      </c>
      <c r="AF99" s="501">
        <f t="shared" si="80"/>
        <v>247974.1643149459</v>
      </c>
      <c r="AG99" s="501">
        <f t="shared" si="77"/>
        <v>222978.03934225158</v>
      </c>
      <c r="AH99" s="501">
        <f t="shared" si="62"/>
        <v>509995.57171746943</v>
      </c>
      <c r="AI99" s="501">
        <f t="shared" si="63"/>
        <v>55362.352912258859</v>
      </c>
      <c r="AJ99" s="501">
        <f t="shared" si="64"/>
        <v>34899.734491434829</v>
      </c>
      <c r="AK99" s="501">
        <f t="shared" si="65"/>
        <v>308393047.22862446</v>
      </c>
      <c r="AL99" s="501">
        <f t="shared" si="81"/>
        <v>0</v>
      </c>
      <c r="AM99" s="502">
        <v>308393047.22862446</v>
      </c>
      <c r="AN99" s="502"/>
      <c r="AO99" s="502"/>
      <c r="AP99" s="502"/>
      <c r="AQ99" s="502"/>
      <c r="AR99" s="501">
        <f t="shared" si="66"/>
        <v>2008648584.009639</v>
      </c>
      <c r="AS99" s="501">
        <f t="shared" si="67"/>
        <v>1673873820.0080326</v>
      </c>
      <c r="AT99" s="502">
        <v>33477476.400160652</v>
      </c>
      <c r="AU99" s="503">
        <f t="shared" si="82"/>
        <v>27897897.000133876</v>
      </c>
      <c r="AV99" s="501">
        <f t="shared" si="68"/>
        <v>1266226931.8580647</v>
      </c>
      <c r="AW99" s="504">
        <f t="shared" si="69"/>
        <v>1266226931.8580647</v>
      </c>
      <c r="AX99" s="502">
        <v>21103782.19763441</v>
      </c>
      <c r="AY99" s="501">
        <f t="shared" si="70"/>
        <v>90262.087403693688</v>
      </c>
      <c r="AZ99" s="501">
        <f t="shared" si="71"/>
        <v>54581258.597795062</v>
      </c>
      <c r="BA99" s="505">
        <f t="shared" si="72"/>
        <v>12</v>
      </c>
      <c r="BB99" s="506">
        <v>10.849232394646483</v>
      </c>
      <c r="BC99" s="507" t="s">
        <v>1864</v>
      </c>
      <c r="BD99" s="455" t="s">
        <v>1789</v>
      </c>
      <c r="BE99" s="508">
        <v>45778</v>
      </c>
      <c r="BF99" s="509">
        <f t="shared" si="78"/>
        <v>45778</v>
      </c>
      <c r="BG99" s="486" t="s">
        <v>1844</v>
      </c>
      <c r="BH99" s="510" t="s">
        <v>1791</v>
      </c>
      <c r="BI99" s="511">
        <v>0.19</v>
      </c>
      <c r="BJ99" s="512" t="s">
        <v>1913</v>
      </c>
      <c r="BK99" s="513">
        <v>10</v>
      </c>
      <c r="BL99" s="514"/>
      <c r="BM99" s="950"/>
      <c r="BN99" s="515" t="s">
        <v>1794</v>
      </c>
      <c r="BO99" s="516"/>
      <c r="BP99" s="516"/>
    </row>
    <row r="100" spans="3:70" ht="40.15" customHeight="1" outlineLevel="1">
      <c r="C100" s="2608"/>
      <c r="D100" s="2610">
        <v>4</v>
      </c>
      <c r="E100" s="485">
        <v>1</v>
      </c>
      <c r="F100" s="485" t="s">
        <v>1786</v>
      </c>
      <c r="G100" s="486" t="s">
        <v>1852</v>
      </c>
      <c r="H100" s="487">
        <v>957.19</v>
      </c>
      <c r="I100" s="488">
        <f t="shared" si="16"/>
        <v>289.54997500000002</v>
      </c>
      <c r="J100" s="489">
        <v>353.36</v>
      </c>
      <c r="K100" s="488">
        <f t="shared" si="17"/>
        <v>106.8914</v>
      </c>
      <c r="L100" s="490">
        <f t="shared" si="73"/>
        <v>0.36916390685234907</v>
      </c>
      <c r="M100" s="455">
        <v>43543</v>
      </c>
      <c r="N100" s="455">
        <v>45004</v>
      </c>
      <c r="O100" s="455">
        <v>46099</v>
      </c>
      <c r="P100" s="491">
        <f t="shared" si="74"/>
        <v>3</v>
      </c>
      <c r="Q100" s="492">
        <f t="shared" si="20"/>
        <v>36</v>
      </c>
      <c r="R100" s="493">
        <f t="shared" si="57"/>
        <v>22</v>
      </c>
      <c r="S100" s="494">
        <f t="shared" si="58"/>
        <v>1.6273972602739726</v>
      </c>
      <c r="T100" s="455">
        <v>46099</v>
      </c>
      <c r="U100" s="491">
        <f t="shared" si="75"/>
        <v>3</v>
      </c>
      <c r="V100" s="492">
        <f t="shared" si="84"/>
        <v>36</v>
      </c>
      <c r="W100" s="492">
        <f t="shared" si="76"/>
        <v>22</v>
      </c>
      <c r="X100" s="495">
        <v>3</v>
      </c>
      <c r="Y100" s="496">
        <f t="shared" si="79"/>
        <v>46009</v>
      </c>
      <c r="Z100" s="497">
        <v>12</v>
      </c>
      <c r="AA100" s="583">
        <f t="shared" si="60"/>
        <v>4</v>
      </c>
      <c r="AB100" s="499">
        <v>0</v>
      </c>
      <c r="AC100" s="500"/>
      <c r="AD100" s="501">
        <f t="shared" si="61"/>
        <v>0</v>
      </c>
      <c r="AE100" s="502">
        <v>0</v>
      </c>
      <c r="AF100" s="501">
        <f t="shared" si="80"/>
        <v>265134.41324288864</v>
      </c>
      <c r="AG100" s="501">
        <f t="shared" si="77"/>
        <v>209358.9048968275</v>
      </c>
      <c r="AH100" s="501">
        <f t="shared" si="62"/>
        <v>192568.90745605555</v>
      </c>
      <c r="AI100" s="501">
        <f t="shared" si="63"/>
        <v>61770.913703123224</v>
      </c>
      <c r="AJ100" s="501">
        <f t="shared" si="64"/>
        <v>35625.719861986618</v>
      </c>
      <c r="AK100" s="501">
        <f t="shared" si="65"/>
        <v>55758322.339678198</v>
      </c>
      <c r="AL100" s="501">
        <f t="shared" si="81"/>
        <v>0</v>
      </c>
      <c r="AM100" s="502">
        <v>55758322.339678198</v>
      </c>
      <c r="AN100" s="502"/>
      <c r="AO100" s="502"/>
      <c r="AP100" s="502"/>
      <c r="AQ100" s="502"/>
      <c r="AR100" s="501">
        <f t="shared" si="66"/>
        <v>643887594.66479349</v>
      </c>
      <c r="AS100" s="501">
        <f t="shared" si="67"/>
        <v>429258396.4431957</v>
      </c>
      <c r="AT100" s="502">
        <v>17885766.518466488</v>
      </c>
      <c r="AU100" s="503">
        <f t="shared" si="82"/>
        <v>11923844.345644325</v>
      </c>
      <c r="AV100" s="501">
        <f t="shared" si="68"/>
        <v>371355346.63422823</v>
      </c>
      <c r="AW100" s="504">
        <f t="shared" si="69"/>
        <v>371355346.63422823</v>
      </c>
      <c r="AX100" s="502">
        <v>10315426.295395229</v>
      </c>
      <c r="AY100" s="501">
        <f t="shared" si="70"/>
        <v>97396.633565109834</v>
      </c>
      <c r="AZ100" s="501">
        <f t="shared" si="71"/>
        <v>28201192.813861717</v>
      </c>
      <c r="BA100" s="505">
        <f t="shared" si="72"/>
        <v>6</v>
      </c>
      <c r="BB100" s="610">
        <v>8.7464035042632542</v>
      </c>
      <c r="BC100" s="507" t="s">
        <v>1853</v>
      </c>
      <c r="BD100" s="455" t="s">
        <v>1789</v>
      </c>
      <c r="BE100" s="508">
        <v>45735</v>
      </c>
      <c r="BF100" s="509">
        <f t="shared" si="78"/>
        <v>45735</v>
      </c>
      <c r="BG100" s="486" t="s">
        <v>1790</v>
      </c>
      <c r="BH100" s="510" t="s">
        <v>1791</v>
      </c>
      <c r="BI100" s="511">
        <v>0.19</v>
      </c>
      <c r="BJ100" s="512" t="s">
        <v>1854</v>
      </c>
      <c r="BK100" s="513">
        <v>10</v>
      </c>
      <c r="BL100" s="486" t="s">
        <v>1855</v>
      </c>
      <c r="BM100" s="486" t="s">
        <v>1856</v>
      </c>
      <c r="BN100" s="515" t="s">
        <v>1794</v>
      </c>
      <c r="BO100" s="516"/>
      <c r="BP100" s="516"/>
    </row>
    <row r="101" spans="3:70" ht="40.15" customHeight="1" outlineLevel="1">
      <c r="C101" s="2608"/>
      <c r="D101" s="2612"/>
      <c r="E101" s="485">
        <v>2</v>
      </c>
      <c r="F101" s="485" t="s">
        <v>1786</v>
      </c>
      <c r="G101" s="486" t="s">
        <v>1852</v>
      </c>
      <c r="H101" s="487">
        <v>1216.27</v>
      </c>
      <c r="I101" s="488">
        <f t="shared" si="16"/>
        <v>367.92167499999999</v>
      </c>
      <c r="J101" s="489">
        <v>448.99693778566302</v>
      </c>
      <c r="K101" s="488">
        <f t="shared" si="17"/>
        <v>135.82157368016306</v>
      </c>
      <c r="L101" s="490">
        <f t="shared" si="73"/>
        <v>0.36915893492864499</v>
      </c>
      <c r="M101" s="455">
        <v>43543</v>
      </c>
      <c r="N101" s="455">
        <v>45004</v>
      </c>
      <c r="O101" s="455">
        <v>46099</v>
      </c>
      <c r="P101" s="491">
        <f t="shared" si="74"/>
        <v>3</v>
      </c>
      <c r="Q101" s="492">
        <f t="shared" si="20"/>
        <v>36</v>
      </c>
      <c r="R101" s="493">
        <f t="shared" si="57"/>
        <v>22</v>
      </c>
      <c r="S101" s="494">
        <f t="shared" si="58"/>
        <v>1.6273972602739726</v>
      </c>
      <c r="T101" s="455">
        <v>46099</v>
      </c>
      <c r="U101" s="491">
        <f t="shared" si="75"/>
        <v>3</v>
      </c>
      <c r="V101" s="492">
        <f t="shared" si="84"/>
        <v>36</v>
      </c>
      <c r="W101" s="492">
        <f t="shared" si="76"/>
        <v>22</v>
      </c>
      <c r="X101" s="495">
        <v>3</v>
      </c>
      <c r="Y101" s="496">
        <f t="shared" si="79"/>
        <v>46009</v>
      </c>
      <c r="Z101" s="497">
        <v>12</v>
      </c>
      <c r="AA101" s="583">
        <f t="shared" si="60"/>
        <v>4</v>
      </c>
      <c r="AB101" s="499">
        <v>0</v>
      </c>
      <c r="AC101" s="500"/>
      <c r="AD101" s="501">
        <f t="shared" si="61"/>
        <v>0</v>
      </c>
      <c r="AE101" s="502">
        <v>0</v>
      </c>
      <c r="AF101" s="501">
        <f t="shared" si="80"/>
        <v>226411.74864027745</v>
      </c>
      <c r="AG101" s="501">
        <f t="shared" si="77"/>
        <v>178533.4931923378</v>
      </c>
      <c r="AH101" s="501">
        <f t="shared" si="62"/>
        <v>164708.96964686847</v>
      </c>
      <c r="AI101" s="501">
        <f t="shared" si="63"/>
        <v>53024.057362208958</v>
      </c>
      <c r="AJ101" s="501">
        <f t="shared" si="64"/>
        <v>30146.090197050773</v>
      </c>
      <c r="AK101" s="501">
        <f t="shared" si="65"/>
        <v>60600000</v>
      </c>
      <c r="AL101" s="501">
        <f t="shared" si="81"/>
        <v>0</v>
      </c>
      <c r="AM101" s="502">
        <v>60600000</v>
      </c>
      <c r="AN101" s="502"/>
      <c r="AO101" s="502"/>
      <c r="AP101" s="502"/>
      <c r="AQ101" s="502"/>
      <c r="AR101" s="501">
        <f t="shared" si="66"/>
        <v>702313200</v>
      </c>
      <c r="AS101" s="501">
        <f t="shared" si="67"/>
        <v>468208800</v>
      </c>
      <c r="AT101" s="502">
        <v>19508700</v>
      </c>
      <c r="AU101" s="503">
        <f t="shared" si="82"/>
        <v>13005800</v>
      </c>
      <c r="AV101" s="501">
        <f t="shared" si="68"/>
        <v>399290400</v>
      </c>
      <c r="AW101" s="504">
        <f t="shared" si="69"/>
        <v>399290400</v>
      </c>
      <c r="AX101" s="502">
        <v>11091400</v>
      </c>
      <c r="AY101" s="501">
        <f t="shared" si="70"/>
        <v>83170.147559259727</v>
      </c>
      <c r="AZ101" s="501">
        <f t="shared" si="71"/>
        <v>30600100</v>
      </c>
      <c r="BA101" s="505">
        <f t="shared" si="72"/>
        <v>7</v>
      </c>
      <c r="BB101" s="506">
        <v>7</v>
      </c>
      <c r="BC101" s="507" t="s">
        <v>1853</v>
      </c>
      <c r="BD101" s="455" t="s">
        <v>1789</v>
      </c>
      <c r="BE101" s="508">
        <v>45735</v>
      </c>
      <c r="BF101" s="509">
        <f t="shared" si="78"/>
        <v>45735</v>
      </c>
      <c r="BG101" s="486" t="s">
        <v>1790</v>
      </c>
      <c r="BH101" s="510" t="s">
        <v>1791</v>
      </c>
      <c r="BI101" s="511">
        <v>0.19</v>
      </c>
      <c r="BJ101" s="512" t="s">
        <v>1854</v>
      </c>
      <c r="BK101" s="513">
        <v>10</v>
      </c>
      <c r="BL101" s="486" t="s">
        <v>1855</v>
      </c>
      <c r="BM101" s="486" t="s">
        <v>1856</v>
      </c>
      <c r="BN101" s="515" t="s">
        <v>1794</v>
      </c>
      <c r="BO101" s="516"/>
      <c r="BP101" s="516"/>
    </row>
    <row r="102" spans="3:70" ht="40.15" customHeight="1" outlineLevel="1">
      <c r="C102" s="2608"/>
      <c r="D102" s="951">
        <v>3</v>
      </c>
      <c r="E102" s="485">
        <v>1</v>
      </c>
      <c r="F102" s="485" t="s">
        <v>1786</v>
      </c>
      <c r="G102" s="486" t="s">
        <v>1923</v>
      </c>
      <c r="H102" s="487">
        <f>606.68+1568.66</f>
        <v>2175.34</v>
      </c>
      <c r="I102" s="488">
        <f t="shared" si="16"/>
        <v>658.04034999999999</v>
      </c>
      <c r="J102" s="489">
        <f>223.76+578.55</f>
        <v>802.31</v>
      </c>
      <c r="K102" s="488">
        <f t="shared" si="17"/>
        <v>242.69877499999998</v>
      </c>
      <c r="L102" s="490">
        <f t="shared" si="73"/>
        <v>0.36882050621971735</v>
      </c>
      <c r="M102" s="455">
        <v>43285</v>
      </c>
      <c r="N102" s="455">
        <v>45474</v>
      </c>
      <c r="O102" s="455">
        <v>45838</v>
      </c>
      <c r="P102" s="491">
        <f t="shared" si="74"/>
        <v>1</v>
      </c>
      <c r="Q102" s="492">
        <f t="shared" si="20"/>
        <v>12</v>
      </c>
      <c r="R102" s="493">
        <f t="shared" si="57"/>
        <v>13</v>
      </c>
      <c r="S102" s="494">
        <f t="shared" si="58"/>
        <v>0.9123287671232877</v>
      </c>
      <c r="T102" s="455">
        <v>45657</v>
      </c>
      <c r="U102" s="491">
        <f t="shared" si="75"/>
        <v>0.5</v>
      </c>
      <c r="V102" s="492">
        <f t="shared" si="84"/>
        <v>6</v>
      </c>
      <c r="W102" s="492">
        <f t="shared" si="76"/>
        <v>7</v>
      </c>
      <c r="X102" s="495">
        <v>1</v>
      </c>
      <c r="Y102" s="496">
        <f t="shared" si="79"/>
        <v>45807</v>
      </c>
      <c r="Z102" s="497">
        <v>0</v>
      </c>
      <c r="AA102" s="583">
        <f t="shared" si="60"/>
        <v>0</v>
      </c>
      <c r="AB102" s="499">
        <v>0</v>
      </c>
      <c r="AC102" s="500"/>
      <c r="AD102" s="501">
        <f t="shared" si="61"/>
        <v>0</v>
      </c>
      <c r="AE102" s="502">
        <v>0</v>
      </c>
      <c r="AF102" s="501">
        <f t="shared" si="80"/>
        <v>277987.00261260074</v>
      </c>
      <c r="AG102" s="501">
        <f t="shared" si="77"/>
        <v>277987.00261260074</v>
      </c>
      <c r="AH102" s="501">
        <f t="shared" si="62"/>
        <v>549999.70746474736</v>
      </c>
      <c r="AI102" s="501">
        <f t="shared" si="63"/>
        <v>63915.077548056135</v>
      </c>
      <c r="AJ102" s="501">
        <f t="shared" si="64"/>
        <v>37237.230209363304</v>
      </c>
      <c r="AK102" s="501">
        <f t="shared" si="65"/>
        <v>361922000</v>
      </c>
      <c r="AL102" s="501">
        <f t="shared" si="81"/>
        <v>0</v>
      </c>
      <c r="AM102" s="502">
        <v>361922000</v>
      </c>
      <c r="AN102" s="502"/>
      <c r="AO102" s="502"/>
      <c r="AP102" s="502"/>
      <c r="AQ102" s="502"/>
      <c r="AR102" s="501">
        <f t="shared" si="66"/>
        <v>504704400</v>
      </c>
      <c r="AS102" s="501">
        <f t="shared" si="67"/>
        <v>504704400</v>
      </c>
      <c r="AT102" s="502">
        <v>42058700</v>
      </c>
      <c r="AU102" s="503">
        <f t="shared" si="82"/>
        <v>42058700</v>
      </c>
      <c r="AV102" s="501">
        <f t="shared" si="68"/>
        <v>294043200</v>
      </c>
      <c r="AW102" s="504">
        <f t="shared" si="69"/>
        <v>294043200</v>
      </c>
      <c r="AX102" s="502">
        <v>24503600</v>
      </c>
      <c r="AY102" s="501">
        <f t="shared" si="70"/>
        <v>101152.30775741943</v>
      </c>
      <c r="AZ102" s="501">
        <f t="shared" si="71"/>
        <v>66562300</v>
      </c>
      <c r="BA102" s="505">
        <f t="shared" si="72"/>
        <v>13</v>
      </c>
      <c r="BB102" s="506">
        <f>9+3</f>
        <v>12</v>
      </c>
      <c r="BC102" s="507" t="s">
        <v>1811</v>
      </c>
      <c r="BD102" s="455" t="s">
        <v>1789</v>
      </c>
      <c r="BE102" s="508"/>
      <c r="BF102" s="509">
        <f t="shared" si="78"/>
        <v>0</v>
      </c>
      <c r="BG102" s="486" t="s">
        <v>1924</v>
      </c>
      <c r="BH102" s="486" t="s">
        <v>1925</v>
      </c>
      <c r="BI102" s="511">
        <v>0.19</v>
      </c>
      <c r="BJ102" s="519" t="s">
        <v>917</v>
      </c>
      <c r="BK102" s="513">
        <v>10</v>
      </c>
      <c r="BL102" s="950" t="s">
        <v>2096</v>
      </c>
      <c r="BM102" s="950"/>
      <c r="BN102" s="515" t="s">
        <v>1794</v>
      </c>
      <c r="BO102" s="516"/>
      <c r="BP102" s="516"/>
    </row>
    <row r="103" spans="3:70" ht="40.15" customHeight="1" outlineLevel="1">
      <c r="C103" s="2608"/>
      <c r="D103" s="2613" t="s">
        <v>1926</v>
      </c>
      <c r="E103" s="485">
        <v>1</v>
      </c>
      <c r="F103" s="485" t="s">
        <v>1873</v>
      </c>
      <c r="G103" s="486" t="s">
        <v>1927</v>
      </c>
      <c r="H103" s="487">
        <v>192.82</v>
      </c>
      <c r="I103" s="488">
        <f t="shared" si="16"/>
        <v>58.328049999999998</v>
      </c>
      <c r="J103" s="489">
        <v>78.724295219085633</v>
      </c>
      <c r="K103" s="488">
        <f t="shared" si="17"/>
        <v>23.814099303773403</v>
      </c>
      <c r="L103" s="490">
        <f t="shared" si="73"/>
        <v>0.40827868073377055</v>
      </c>
      <c r="M103" s="455">
        <v>39845</v>
      </c>
      <c r="N103" s="455">
        <v>44713</v>
      </c>
      <c r="O103" s="455">
        <v>45808</v>
      </c>
      <c r="P103" s="491">
        <f t="shared" si="74"/>
        <v>3</v>
      </c>
      <c r="Q103" s="492">
        <f t="shared" si="20"/>
        <v>36</v>
      </c>
      <c r="R103" s="493">
        <f t="shared" si="57"/>
        <v>12</v>
      </c>
      <c r="S103" s="494">
        <f t="shared" si="58"/>
        <v>0.83013698630136989</v>
      </c>
      <c r="T103" s="455">
        <v>45077</v>
      </c>
      <c r="U103" s="491">
        <f t="shared" si="75"/>
        <v>1</v>
      </c>
      <c r="V103" s="492">
        <f t="shared" si="84"/>
        <v>12</v>
      </c>
      <c r="W103" s="492" t="str">
        <f t="shared" si="76"/>
        <v>만료</v>
      </c>
      <c r="X103" s="495">
        <v>3</v>
      </c>
      <c r="Y103" s="496">
        <f t="shared" si="79"/>
        <v>45716</v>
      </c>
      <c r="Z103" s="497">
        <v>13.5</v>
      </c>
      <c r="AA103" s="583">
        <f t="shared" si="60"/>
        <v>4.5</v>
      </c>
      <c r="AB103" s="499">
        <v>0</v>
      </c>
      <c r="AC103" s="500"/>
      <c r="AD103" s="501">
        <f t="shared" si="61"/>
        <v>0</v>
      </c>
      <c r="AE103" s="502">
        <v>0</v>
      </c>
      <c r="AF103" s="501">
        <f t="shared" si="80"/>
        <v>332382.9257210574</v>
      </c>
      <c r="AG103" s="501">
        <f t="shared" si="77"/>
        <v>240096.21052911374</v>
      </c>
      <c r="AH103" s="501">
        <f t="shared" si="62"/>
        <v>1371552.7949245689</v>
      </c>
      <c r="AI103" s="501">
        <f t="shared" si="63"/>
        <v>100476.52887418661</v>
      </c>
      <c r="AJ103" s="501">
        <f t="shared" si="64"/>
        <v>31799.451550326132</v>
      </c>
      <c r="AK103" s="501">
        <f t="shared" si="65"/>
        <v>80000000</v>
      </c>
      <c r="AL103" s="501">
        <f t="shared" si="81"/>
        <v>0</v>
      </c>
      <c r="AM103" s="502"/>
      <c r="AN103" s="502">
        <v>80000000</v>
      </c>
      <c r="AO103" s="502"/>
      <c r="AP103" s="502"/>
      <c r="AQ103" s="502"/>
      <c r="AR103" s="501">
        <f t="shared" si="66"/>
        <v>210981600</v>
      </c>
      <c r="AS103" s="501">
        <f t="shared" si="67"/>
        <v>131863500</v>
      </c>
      <c r="AT103" s="502">
        <v>5860600</v>
      </c>
      <c r="AU103" s="503">
        <f t="shared" si="82"/>
        <v>3662875</v>
      </c>
      <c r="AV103" s="501">
        <f t="shared" si="68"/>
        <v>66772800.000000007</v>
      </c>
      <c r="AW103" s="504">
        <f t="shared" si="69"/>
        <v>66772800.000000007</v>
      </c>
      <c r="AX103" s="502">
        <v>1854800</v>
      </c>
      <c r="AY103" s="501">
        <f t="shared" si="70"/>
        <v>132275.98042451273</v>
      </c>
      <c r="AZ103" s="501">
        <f t="shared" si="71"/>
        <v>7715400</v>
      </c>
      <c r="BA103" s="505">
        <f t="shared" si="72"/>
        <v>1</v>
      </c>
      <c r="BB103" s="506">
        <v>1</v>
      </c>
      <c r="BC103" s="507" t="s">
        <v>1885</v>
      </c>
      <c r="BD103" s="455" t="s">
        <v>1789</v>
      </c>
      <c r="BE103" s="508">
        <v>45444</v>
      </c>
      <c r="BF103" s="509">
        <f t="shared" si="78"/>
        <v>45444</v>
      </c>
      <c r="BG103" s="486" t="s">
        <v>1790</v>
      </c>
      <c r="BH103" s="486" t="s">
        <v>1925</v>
      </c>
      <c r="BI103" s="511">
        <v>0.19</v>
      </c>
      <c r="BJ103" s="512" t="s">
        <v>1928</v>
      </c>
      <c r="BK103" s="513">
        <v>10</v>
      </c>
      <c r="BL103" s="514"/>
      <c r="BM103" s="950"/>
      <c r="BN103" s="515" t="s">
        <v>1794</v>
      </c>
      <c r="BO103" s="516"/>
      <c r="BP103" s="516"/>
    </row>
    <row r="104" spans="3:70" ht="40.15" customHeight="1" outlineLevel="1">
      <c r="C104" s="2608"/>
      <c r="D104" s="2615"/>
      <c r="E104" s="485">
        <v>2</v>
      </c>
      <c r="F104" s="485" t="s">
        <v>1873</v>
      </c>
      <c r="G104" s="486" t="s">
        <v>1929</v>
      </c>
      <c r="H104" s="487">
        <v>420.84</v>
      </c>
      <c r="I104" s="488">
        <f t="shared" si="16"/>
        <v>127.30409999999999</v>
      </c>
      <c r="J104" s="489">
        <v>171.82</v>
      </c>
      <c r="K104" s="488">
        <f t="shared" si="17"/>
        <v>51.975549999999998</v>
      </c>
      <c r="L104" s="490">
        <f t="shared" si="73"/>
        <v>0.40827868073377055</v>
      </c>
      <c r="M104" s="455">
        <v>41153</v>
      </c>
      <c r="N104" s="455">
        <v>44136</v>
      </c>
      <c r="O104" s="455">
        <v>45961</v>
      </c>
      <c r="P104" s="491">
        <f t="shared" si="74"/>
        <v>5</v>
      </c>
      <c r="Q104" s="492">
        <f t="shared" ref="Q104" si="85">DATEDIF(N104,O104,"m")+1</f>
        <v>60</v>
      </c>
      <c r="R104" s="493">
        <f t="shared" si="57"/>
        <v>17</v>
      </c>
      <c r="S104" s="494">
        <f t="shared" si="58"/>
        <v>1.2493150684931507</v>
      </c>
      <c r="T104" s="455">
        <v>45230</v>
      </c>
      <c r="U104" s="491">
        <f t="shared" si="75"/>
        <v>3</v>
      </c>
      <c r="V104" s="492">
        <f t="shared" si="84"/>
        <v>36</v>
      </c>
      <c r="W104" s="492" t="str">
        <f>IFERROR(DATEDIF($R$1,T104,"m"),"만료")</f>
        <v>만료</v>
      </c>
      <c r="X104" s="495">
        <v>3</v>
      </c>
      <c r="Y104" s="496">
        <f t="shared" si="79"/>
        <v>45869</v>
      </c>
      <c r="Z104" s="497">
        <v>30</v>
      </c>
      <c r="AA104" s="583">
        <f t="shared" si="60"/>
        <v>6</v>
      </c>
      <c r="AB104" s="499">
        <v>0</v>
      </c>
      <c r="AC104" s="495">
        <v>10</v>
      </c>
      <c r="AD104" s="501">
        <f t="shared" si="61"/>
        <v>0</v>
      </c>
      <c r="AE104" s="502">
        <v>0</v>
      </c>
      <c r="AF104" s="501">
        <f t="shared" si="80"/>
        <v>229761.87842168097</v>
      </c>
      <c r="AG104" s="501">
        <f t="shared" si="77"/>
        <v>145273.43465661581</v>
      </c>
      <c r="AH104" s="501">
        <f t="shared" si="62"/>
        <v>653553.1848542192</v>
      </c>
      <c r="AI104" s="501">
        <f t="shared" si="63"/>
        <v>57397.994251559852</v>
      </c>
      <c r="AJ104" s="501">
        <f t="shared" si="64"/>
        <v>34774.999391221492</v>
      </c>
      <c r="AK104" s="501">
        <f t="shared" si="65"/>
        <v>83200000</v>
      </c>
      <c r="AL104" s="501">
        <f t="shared" si="81"/>
        <v>0</v>
      </c>
      <c r="AM104" s="502"/>
      <c r="AN104" s="502">
        <v>83200000</v>
      </c>
      <c r="AO104" s="502"/>
      <c r="AP104" s="502"/>
      <c r="AQ104" s="502"/>
      <c r="AR104" s="501">
        <f t="shared" si="66"/>
        <v>438420000</v>
      </c>
      <c r="AS104" s="501">
        <f t="shared" si="67"/>
        <v>219210000</v>
      </c>
      <c r="AT104" s="502">
        <v>7307000</v>
      </c>
      <c r="AU104" s="503">
        <f t="shared" si="82"/>
        <v>3653500</v>
      </c>
      <c r="AV104" s="501">
        <f t="shared" si="68"/>
        <v>265619999.99999997</v>
      </c>
      <c r="AW104" s="504">
        <f t="shared" si="69"/>
        <v>221350000</v>
      </c>
      <c r="AX104" s="502">
        <v>4427000</v>
      </c>
      <c r="AY104" s="501">
        <f t="shared" si="70"/>
        <v>92172.993642781352</v>
      </c>
      <c r="AZ104" s="501">
        <f t="shared" si="71"/>
        <v>11734000</v>
      </c>
      <c r="BA104" s="505">
        <f t="shared" si="72"/>
        <v>3</v>
      </c>
      <c r="BB104" s="506">
        <v>2</v>
      </c>
      <c r="BC104" s="507" t="s">
        <v>1811</v>
      </c>
      <c r="BD104" s="455" t="s">
        <v>1789</v>
      </c>
      <c r="BE104" s="508">
        <v>45597</v>
      </c>
      <c r="BF104" s="509">
        <f>BE104</f>
        <v>45597</v>
      </c>
      <c r="BG104" s="486" t="s">
        <v>1790</v>
      </c>
      <c r="BH104" s="486" t="s">
        <v>1925</v>
      </c>
      <c r="BI104" s="511">
        <v>0.19</v>
      </c>
      <c r="BJ104" s="512" t="s">
        <v>1930</v>
      </c>
      <c r="BK104" s="513">
        <v>10</v>
      </c>
      <c r="BL104" s="607"/>
      <c r="BM104" s="950" t="s">
        <v>1919</v>
      </c>
      <c r="BN104" s="515" t="s">
        <v>1794</v>
      </c>
      <c r="BO104" s="516"/>
      <c r="BP104" s="516"/>
    </row>
    <row r="105" spans="3:70" ht="30" customHeight="1">
      <c r="C105" s="2608"/>
      <c r="D105" s="611"/>
      <c r="E105" s="612"/>
      <c r="F105" s="613"/>
      <c r="G105" s="537" t="s">
        <v>1722</v>
      </c>
      <c r="H105" s="538">
        <f>H107-H106</f>
        <v>36256.920000000006</v>
      </c>
      <c r="I105" s="538">
        <f t="shared" ref="I105:K105" si="86">I107-I106</f>
        <v>10967.718299999999</v>
      </c>
      <c r="J105" s="538">
        <f t="shared" si="86"/>
        <v>13877.143907004745</v>
      </c>
      <c r="K105" s="538">
        <f t="shared" si="86"/>
        <v>4197.8360318689374</v>
      </c>
      <c r="L105" s="539">
        <f>J105/H105</f>
        <v>0.38274469830875713</v>
      </c>
      <c r="M105" s="586"/>
      <c r="N105" s="586"/>
      <c r="O105" s="586"/>
      <c r="P105" s="542"/>
      <c r="Q105" s="543"/>
      <c r="R105" s="544"/>
      <c r="S105" s="545"/>
      <c r="T105" s="544"/>
      <c r="U105" s="544"/>
      <c r="V105" s="544"/>
      <c r="W105" s="544"/>
      <c r="X105" s="544"/>
      <c r="Y105" s="544"/>
      <c r="Z105" s="614"/>
      <c r="AA105" s="615"/>
      <c r="AB105" s="551"/>
      <c r="AC105" s="551"/>
      <c r="AD105" s="551">
        <f t="shared" si="61"/>
        <v>8179.5600731724899</v>
      </c>
      <c r="AE105" s="616">
        <f>SUM(AE66:AE104)</f>
        <v>34336452</v>
      </c>
      <c r="AF105" s="551"/>
      <c r="AG105" s="551"/>
      <c r="AH105" s="551">
        <f t="shared" si="62"/>
        <v>445667.54193541571</v>
      </c>
      <c r="AI105" s="551">
        <f>AT105/$I$105</f>
        <v>59431.427045851946</v>
      </c>
      <c r="AJ105" s="551">
        <f>AX105/$I$105</f>
        <v>33652.241917470485</v>
      </c>
      <c r="AK105" s="553">
        <f t="shared" ref="AK105:AX105" si="87">SUM(AK66:AK104)</f>
        <v>4887956055.4010754</v>
      </c>
      <c r="AL105" s="553">
        <f t="shared" si="87"/>
        <v>0</v>
      </c>
      <c r="AM105" s="553">
        <f t="shared" si="87"/>
        <v>3740458055.4010758</v>
      </c>
      <c r="AN105" s="553">
        <f t="shared" si="87"/>
        <v>1147498000</v>
      </c>
      <c r="AO105" s="553">
        <f t="shared" si="87"/>
        <v>0</v>
      </c>
      <c r="AP105" s="553">
        <f t="shared" si="87"/>
        <v>0</v>
      </c>
      <c r="AQ105" s="553">
        <f t="shared" si="87"/>
        <v>0</v>
      </c>
      <c r="AR105" s="616">
        <f t="shared" si="87"/>
        <v>32438374200.354317</v>
      </c>
      <c r="AS105" s="616">
        <f t="shared" si="87"/>
        <v>23347566483.995892</v>
      </c>
      <c r="AT105" s="553">
        <f t="shared" si="87"/>
        <v>651827150.00590527</v>
      </c>
      <c r="AU105" s="553">
        <f t="shared" si="87"/>
        <v>480511085.62044013</v>
      </c>
      <c r="AV105" s="616">
        <f t="shared" si="87"/>
        <v>18398125770.856083</v>
      </c>
      <c r="AW105" s="616">
        <f t="shared" si="87"/>
        <v>18341712432.856083</v>
      </c>
      <c r="AX105" s="553">
        <f t="shared" si="87"/>
        <v>369088309.51426804</v>
      </c>
      <c r="AY105" s="551">
        <f>AZ105/$I$105</f>
        <v>93083.66896332243</v>
      </c>
      <c r="AZ105" s="551">
        <f t="shared" si="71"/>
        <v>1020915459.5201733</v>
      </c>
      <c r="BA105" s="566">
        <f>SUM(BA66:BA104)</f>
        <v>221</v>
      </c>
      <c r="BB105" s="566">
        <f>SUM(BB66:BB104)</f>
        <v>225.51716378235159</v>
      </c>
      <c r="BC105" s="551"/>
      <c r="BD105" s="557"/>
      <c r="BE105" s="557"/>
      <c r="BF105" s="557"/>
      <c r="BG105" s="557"/>
      <c r="BH105" s="557"/>
      <c r="BI105" s="557"/>
      <c r="BJ105" s="557"/>
      <c r="BK105" s="557"/>
      <c r="BL105" s="557"/>
      <c r="BM105" s="557"/>
      <c r="BN105" s="557"/>
      <c r="BO105" s="617"/>
      <c r="BP105" s="617"/>
    </row>
    <row r="106" spans="3:70" ht="30" customHeight="1">
      <c r="C106" s="2608"/>
      <c r="D106" s="562" t="s">
        <v>1817</v>
      </c>
      <c r="E106" s="563"/>
      <c r="F106" s="564"/>
      <c r="G106" s="537" t="s">
        <v>470</v>
      </c>
      <c r="H106" s="538">
        <f>SUMIF($G$66:$G$104,$G$106,H66:H104)</f>
        <v>329.58000000000004</v>
      </c>
      <c r="I106" s="538">
        <f>SUMIF($G$66:$G$104,$G$106,I66:I104)</f>
        <v>99.697950000000006</v>
      </c>
      <c r="J106" s="538">
        <f>SUMIF($G$66:$G$104,$G$106,J66:J104)</f>
        <v>125.12515400000001</v>
      </c>
      <c r="K106" s="538">
        <f>SUMIF($G$66:$G$104,$G$106,K66:K104)</f>
        <v>37.850359085000001</v>
      </c>
      <c r="L106" s="539">
        <f t="shared" ref="L106:L107" si="88">J106/H106</f>
        <v>0.37965032465562226</v>
      </c>
      <c r="M106" s="618"/>
      <c r="N106" s="541"/>
      <c r="O106" s="541"/>
      <c r="P106" s="542"/>
      <c r="Q106" s="543"/>
      <c r="R106" s="544"/>
      <c r="S106" s="544"/>
      <c r="T106" s="544"/>
      <c r="U106" s="544"/>
      <c r="V106" s="544"/>
      <c r="W106" s="544"/>
      <c r="X106" s="544"/>
      <c r="Y106" s="544"/>
      <c r="Z106" s="614"/>
      <c r="AA106" s="615"/>
      <c r="AB106" s="551"/>
      <c r="AC106" s="551"/>
      <c r="AD106" s="551">
        <f t="shared" si="61"/>
        <v>0</v>
      </c>
      <c r="AE106" s="551"/>
      <c r="AF106" s="551"/>
      <c r="AG106" s="551"/>
      <c r="AH106" s="551"/>
      <c r="AI106" s="551"/>
      <c r="AJ106" s="551"/>
      <c r="AK106" s="551"/>
      <c r="AL106" s="551"/>
      <c r="AM106" s="551"/>
      <c r="AN106" s="551"/>
      <c r="AO106" s="552"/>
      <c r="AP106" s="552"/>
      <c r="AQ106" s="552"/>
      <c r="AR106" s="551"/>
      <c r="AS106" s="551"/>
      <c r="AT106" s="552"/>
      <c r="AU106" s="553"/>
      <c r="AV106" s="551"/>
      <c r="AW106" s="565"/>
      <c r="AX106" s="552"/>
      <c r="AY106" s="551"/>
      <c r="AZ106" s="551">
        <f t="shared" si="71"/>
        <v>0</v>
      </c>
      <c r="BA106" s="551"/>
      <c r="BB106" s="551"/>
      <c r="BC106" s="551"/>
      <c r="BD106" s="557"/>
      <c r="BE106" s="557"/>
      <c r="BF106" s="557"/>
      <c r="BG106" s="557"/>
      <c r="BH106" s="557"/>
      <c r="BI106" s="557"/>
      <c r="BJ106" s="557"/>
      <c r="BK106" s="557"/>
      <c r="BL106" s="557"/>
      <c r="BM106" s="557"/>
      <c r="BN106" s="557"/>
      <c r="BO106" s="617"/>
      <c r="BP106" s="617"/>
    </row>
    <row r="107" spans="3:70" ht="30" customHeight="1">
      <c r="C107" s="2609"/>
      <c r="D107" s="619"/>
      <c r="E107" s="620"/>
      <c r="F107" s="621"/>
      <c r="G107" s="537" t="s">
        <v>1931</v>
      </c>
      <c r="H107" s="538">
        <f>SUM(H66:H104)</f>
        <v>36586.500000000007</v>
      </c>
      <c r="I107" s="538">
        <f>SUM(I66:I104)</f>
        <v>11067.416249999998</v>
      </c>
      <c r="J107" s="538">
        <f>SUM(J66:J104)</f>
        <v>14002.269061004745</v>
      </c>
      <c r="K107" s="538">
        <f>SUM(K66:K104)</f>
        <v>4235.686390953937</v>
      </c>
      <c r="L107" s="539">
        <f t="shared" si="88"/>
        <v>0.38271682344593611</v>
      </c>
      <c r="M107" s="618"/>
      <c r="N107" s="541"/>
      <c r="O107" s="541"/>
      <c r="P107" s="542"/>
      <c r="Q107" s="543"/>
      <c r="R107" s="544"/>
      <c r="S107" s="544"/>
      <c r="T107" s="544"/>
      <c r="U107" s="544"/>
      <c r="V107" s="544"/>
      <c r="W107" s="544"/>
      <c r="X107" s="544"/>
      <c r="Y107" s="544"/>
      <c r="Z107" s="614"/>
      <c r="AA107" s="615"/>
      <c r="AB107" s="551"/>
      <c r="AC107" s="551"/>
      <c r="AD107" s="551">
        <f t="shared" si="61"/>
        <v>0</v>
      </c>
      <c r="AE107" s="551"/>
      <c r="AF107" s="551"/>
      <c r="AG107" s="551"/>
      <c r="AH107" s="551"/>
      <c r="AI107" s="551"/>
      <c r="AJ107" s="551"/>
      <c r="AK107" s="551"/>
      <c r="AL107" s="551"/>
      <c r="AM107" s="551"/>
      <c r="AN107" s="551"/>
      <c r="AO107" s="552"/>
      <c r="AP107" s="552"/>
      <c r="AQ107" s="552"/>
      <c r="AR107" s="551"/>
      <c r="AS107" s="551"/>
      <c r="AT107" s="552"/>
      <c r="AU107" s="553"/>
      <c r="AV107" s="551"/>
      <c r="AW107" s="565"/>
      <c r="AX107" s="552"/>
      <c r="AY107" s="551"/>
      <c r="AZ107" s="551">
        <f t="shared" si="71"/>
        <v>0</v>
      </c>
      <c r="BA107" s="551"/>
      <c r="BB107" s="551"/>
      <c r="BC107" s="551"/>
      <c r="BD107" s="557"/>
      <c r="BE107" s="557"/>
      <c r="BF107" s="557"/>
      <c r="BG107" s="557"/>
      <c r="BH107" s="557"/>
      <c r="BI107" s="557"/>
      <c r="BJ107" s="557"/>
      <c r="BK107" s="557"/>
      <c r="BL107" s="557"/>
      <c r="BM107" s="557"/>
      <c r="BN107" s="557"/>
      <c r="BO107" s="617"/>
      <c r="BP107" s="617"/>
    </row>
    <row r="108" spans="3:70" ht="40.15" customHeight="1">
      <c r="C108" s="622"/>
      <c r="D108" s="623"/>
      <c r="E108" s="623"/>
      <c r="F108" s="624"/>
      <c r="G108" s="625" t="s">
        <v>1722</v>
      </c>
      <c r="H108" s="626">
        <f t="shared" ref="H108:K110" si="89">H105+H63+H34</f>
        <v>92385.050000000017</v>
      </c>
      <c r="I108" s="626">
        <f t="shared" si="89"/>
        <v>27946.477625</v>
      </c>
      <c r="J108" s="626">
        <f t="shared" si="89"/>
        <v>36465.74390700474</v>
      </c>
      <c r="K108" s="626">
        <f t="shared" si="89"/>
        <v>11030.887531868935</v>
      </c>
      <c r="L108" s="627">
        <f>J108/H108</f>
        <v>0.39471477156752888</v>
      </c>
      <c r="M108" s="628"/>
      <c r="N108" s="629"/>
      <c r="O108" s="629"/>
      <c r="P108" s="630"/>
      <c r="Q108" s="631"/>
      <c r="R108" s="632"/>
      <c r="S108" s="633">
        <f>AVERAGEIF(S13:S104,"&gt;0")</f>
        <v>1.6077240468724205</v>
      </c>
      <c r="T108" s="632"/>
      <c r="U108" s="632"/>
      <c r="V108" s="632"/>
      <c r="W108" s="632"/>
      <c r="X108" s="632"/>
      <c r="Y108" s="632"/>
      <c r="Z108" s="634"/>
      <c r="AA108" s="635"/>
      <c r="AB108" s="636"/>
      <c r="AC108" s="636"/>
      <c r="AD108" s="636">
        <f t="shared" si="61"/>
        <v>3112.7551523664624</v>
      </c>
      <c r="AE108" s="637">
        <f t="shared" ref="AE108" si="90">AE105+AE63+AE34</f>
        <v>34336452</v>
      </c>
      <c r="AF108" s="636">
        <f>AVERAGEIF(AF13:AF107,"&gt;0")</f>
        <v>247766.29942694388</v>
      </c>
      <c r="AG108" s="636">
        <f>AVERAGEIF(AG13:AG107,"&gt;0")</f>
        <v>212069.20885130292</v>
      </c>
      <c r="AH108" s="638">
        <f>AK108/I108</f>
        <v>500815.52701581299</v>
      </c>
      <c r="AI108" s="636">
        <f>AT108/$I$108</f>
        <v>57192.755790095747</v>
      </c>
      <c r="AJ108" s="636">
        <f>AX108/$I$108</f>
        <v>33356.467298264746</v>
      </c>
      <c r="AK108" s="626">
        <f t="shared" ref="AK108:AL108" si="91">AK105+AK63+AK34</f>
        <v>13996029920</v>
      </c>
      <c r="AL108" s="626">
        <f t="shared" si="91"/>
        <v>0</v>
      </c>
      <c r="AM108" s="626">
        <f>AM105+AM63+AM34</f>
        <v>12638524320</v>
      </c>
      <c r="AN108" s="626">
        <f>AN105+AN63+AN34</f>
        <v>1357505600</v>
      </c>
      <c r="AO108" s="626">
        <f t="shared" ref="AO108:AX108" si="92">AO105+AO63+AO34</f>
        <v>0</v>
      </c>
      <c r="AP108" s="626">
        <f t="shared" si="92"/>
        <v>0</v>
      </c>
      <c r="AQ108" s="626">
        <f t="shared" si="92"/>
        <v>0</v>
      </c>
      <c r="AR108" s="637">
        <f t="shared" si="92"/>
        <v>82151825640</v>
      </c>
      <c r="AS108" s="637">
        <f t="shared" si="92"/>
        <v>60781625478.6129</v>
      </c>
      <c r="AT108" s="626">
        <f t="shared" si="92"/>
        <v>1598336070</v>
      </c>
      <c r="AU108" s="626">
        <f t="shared" si="92"/>
        <v>1200954509.7596753</v>
      </c>
      <c r="AV108" s="637">
        <f t="shared" si="92"/>
        <v>47887668164</v>
      </c>
      <c r="AW108" s="637">
        <f t="shared" si="92"/>
        <v>47897025842.666672</v>
      </c>
      <c r="AX108" s="626">
        <f t="shared" si="92"/>
        <v>932195767</v>
      </c>
      <c r="AY108" s="636">
        <f>AZ108/$I$108</f>
        <v>90549.223088360493</v>
      </c>
      <c r="AZ108" s="626">
        <f>AZ105+AZ63+AZ34</f>
        <v>2530531837</v>
      </c>
      <c r="BA108" s="639">
        <f t="shared" ref="BA108:BB108" si="93">BA105+BA63+BA34</f>
        <v>563</v>
      </c>
      <c r="BB108" s="639">
        <f t="shared" si="93"/>
        <v>592</v>
      </c>
      <c r="BC108" s="640"/>
      <c r="BD108" s="641"/>
      <c r="BE108" s="641"/>
      <c r="BF108" s="641"/>
      <c r="BG108" s="641"/>
      <c r="BH108" s="641"/>
      <c r="BI108" s="641"/>
      <c r="BJ108" s="641"/>
      <c r="BK108" s="641"/>
      <c r="BL108" s="641"/>
      <c r="BM108" s="642"/>
      <c r="BN108" s="641"/>
      <c r="BO108" s="643"/>
      <c r="BP108" s="643"/>
    </row>
    <row r="109" spans="3:70" ht="39.6" customHeight="1">
      <c r="C109" s="644" t="s">
        <v>1932</v>
      </c>
      <c r="D109" s="645"/>
      <c r="E109" s="645"/>
      <c r="F109" s="646"/>
      <c r="G109" s="625" t="s">
        <v>470</v>
      </c>
      <c r="H109" s="626">
        <f t="shared" si="89"/>
        <v>329.58000000000004</v>
      </c>
      <c r="I109" s="626">
        <f t="shared" si="89"/>
        <v>99.697950000000006</v>
      </c>
      <c r="J109" s="626">
        <f t="shared" si="89"/>
        <v>125.12515400000001</v>
      </c>
      <c r="K109" s="626">
        <f t="shared" si="89"/>
        <v>37.850359085000001</v>
      </c>
      <c r="L109" s="627">
        <f t="shared" ref="L109:L110" si="94">J109/H109</f>
        <v>0.37965032465562226</v>
      </c>
      <c r="M109" s="628"/>
      <c r="N109" s="629"/>
      <c r="O109" s="629"/>
      <c r="P109" s="630"/>
      <c r="Q109" s="631"/>
      <c r="R109" s="632"/>
      <c r="S109" s="632"/>
      <c r="T109" s="632"/>
      <c r="U109" s="632"/>
      <c r="V109" s="632"/>
      <c r="W109" s="632"/>
      <c r="X109" s="632"/>
      <c r="Y109" s="632"/>
      <c r="Z109" s="634"/>
      <c r="AA109" s="635"/>
      <c r="AB109" s="636"/>
      <c r="AC109" s="636"/>
      <c r="AD109" s="636">
        <f t="shared" si="61"/>
        <v>0</v>
      </c>
      <c r="AE109" s="636"/>
      <c r="AF109" s="640"/>
      <c r="AG109" s="640"/>
      <c r="AH109" s="636"/>
      <c r="AI109" s="636"/>
      <c r="AJ109" s="636"/>
      <c r="AK109" s="636"/>
      <c r="AL109" s="636"/>
      <c r="AM109" s="636"/>
      <c r="AN109" s="636"/>
      <c r="AO109" s="636"/>
      <c r="AP109" s="636"/>
      <c r="AQ109" s="636"/>
      <c r="AR109" s="636"/>
      <c r="AS109" s="636"/>
      <c r="AT109" s="636"/>
      <c r="AU109" s="636"/>
      <c r="AV109" s="636"/>
      <c r="AW109" s="647"/>
      <c r="AX109" s="636"/>
      <c r="AY109" s="636"/>
      <c r="AZ109" s="636"/>
      <c r="BA109" s="639">
        <f>BA110-BA108</f>
        <v>94</v>
      </c>
      <c r="BB109" s="639">
        <f>BB110-BB108</f>
        <v>65</v>
      </c>
      <c r="BC109" s="640"/>
      <c r="BD109" s="641"/>
      <c r="BE109" s="641"/>
      <c r="BF109" s="641"/>
      <c r="BG109" s="641"/>
      <c r="BH109" s="641"/>
      <c r="BI109" s="641"/>
      <c r="BJ109" s="641"/>
      <c r="BK109" s="641"/>
      <c r="BL109" s="641"/>
      <c r="BM109" s="642"/>
      <c r="BN109" s="641"/>
      <c r="BO109" s="643"/>
      <c r="BP109" s="643"/>
    </row>
    <row r="110" spans="3:70" ht="40.15" customHeight="1">
      <c r="C110" s="648"/>
      <c r="D110" s="649"/>
      <c r="E110" s="649"/>
      <c r="F110" s="650"/>
      <c r="G110" s="625" t="s">
        <v>1933</v>
      </c>
      <c r="H110" s="626">
        <f t="shared" si="89"/>
        <v>92714.630000000019</v>
      </c>
      <c r="I110" s="626">
        <f t="shared" si="89"/>
        <v>28046.175575000001</v>
      </c>
      <c r="J110" s="626">
        <f t="shared" si="89"/>
        <v>36590.869061004749</v>
      </c>
      <c r="K110" s="626">
        <f t="shared" si="89"/>
        <v>11068.737890953937</v>
      </c>
      <c r="L110" s="627">
        <f t="shared" si="94"/>
        <v>0.39466122079120353</v>
      </c>
      <c r="M110" s="628"/>
      <c r="N110" s="629"/>
      <c r="O110" s="629"/>
      <c r="P110" s="630"/>
      <c r="Q110" s="631"/>
      <c r="R110" s="632"/>
      <c r="S110" s="632"/>
      <c r="T110" s="632"/>
      <c r="U110" s="632"/>
      <c r="V110" s="632"/>
      <c r="W110" s="632"/>
      <c r="X110" s="632"/>
      <c r="Y110" s="632"/>
      <c r="Z110" s="634"/>
      <c r="AA110" s="635"/>
      <c r="AB110" s="636"/>
      <c r="AC110" s="636"/>
      <c r="AD110" s="636">
        <f t="shared" si="61"/>
        <v>0</v>
      </c>
      <c r="AE110" s="636"/>
      <c r="AF110" s="640"/>
      <c r="AG110" s="640"/>
      <c r="AH110" s="636"/>
      <c r="AI110" s="636"/>
      <c r="AJ110" s="636"/>
      <c r="AK110" s="636"/>
      <c r="AL110" s="636"/>
      <c r="AM110" s="636"/>
      <c r="AN110" s="636"/>
      <c r="AO110" s="636"/>
      <c r="AP110" s="636"/>
      <c r="AQ110" s="636"/>
      <c r="AR110" s="636"/>
      <c r="AS110" s="636"/>
      <c r="AT110" s="636"/>
      <c r="AU110" s="636"/>
      <c r="AV110" s="636"/>
      <c r="AW110" s="647"/>
      <c r="AX110" s="636"/>
      <c r="AY110" s="636"/>
      <c r="AZ110" s="636"/>
      <c r="BA110" s="651">
        <v>657</v>
      </c>
      <c r="BB110" s="651">
        <v>657</v>
      </c>
      <c r="BC110" s="640"/>
      <c r="BD110" s="641"/>
      <c r="BE110" s="641"/>
      <c r="BF110" s="641"/>
      <c r="BG110" s="641"/>
      <c r="BH110" s="641"/>
      <c r="BI110" s="641"/>
      <c r="BJ110" s="641"/>
      <c r="BK110" s="641"/>
      <c r="BL110" s="641"/>
      <c r="BM110" s="642"/>
      <c r="BN110" s="641"/>
      <c r="BO110" s="643"/>
      <c r="BP110" s="643"/>
    </row>
    <row r="111" spans="3:70" ht="40.15" customHeight="1">
      <c r="C111" s="2604" t="s">
        <v>1934</v>
      </c>
      <c r="D111" s="652">
        <v>1</v>
      </c>
      <c r="E111" s="652"/>
      <c r="F111" s="653" t="s">
        <v>1935</v>
      </c>
      <c r="G111" s="652" t="s">
        <v>1936</v>
      </c>
      <c r="H111" s="654"/>
      <c r="I111" s="654"/>
      <c r="J111" s="654"/>
      <c r="K111" s="654"/>
      <c r="L111" s="655"/>
      <c r="M111" s="455">
        <v>45302</v>
      </c>
      <c r="N111" s="455">
        <v>45323</v>
      </c>
      <c r="O111" s="455">
        <v>47149</v>
      </c>
      <c r="P111" s="491">
        <f t="shared" ref="P111:P113" si="95">Q111/$P$1</f>
        <v>5</v>
      </c>
      <c r="Q111" s="492">
        <f t="shared" ref="Q111:Q113" si="96">DATEDIF(N111,O111,"m")+1</f>
        <v>60</v>
      </c>
      <c r="R111" s="493">
        <f t="shared" ref="R111:R113" si="97">IFERROR(DATEDIF($R$1,O111,"m"),0)</f>
        <v>56</v>
      </c>
      <c r="S111" s="494"/>
      <c r="T111" s="656"/>
      <c r="U111" s="491"/>
      <c r="V111" s="492"/>
      <c r="W111" s="492" t="str">
        <f>IFERROR(DATEDIF($R$1,T111,"m"),"만료")</f>
        <v>만료</v>
      </c>
      <c r="X111" s="495">
        <v>1</v>
      </c>
      <c r="Y111" s="496">
        <f t="shared" ref="Y111:Y113" si="98">EDATE($O111,-X111)</f>
        <v>47118</v>
      </c>
      <c r="Z111" s="657"/>
      <c r="AA111" s="658"/>
      <c r="AB111" s="503"/>
      <c r="AC111" s="503"/>
      <c r="AD111" s="503"/>
      <c r="AE111" s="503"/>
      <c r="AF111" s="503"/>
      <c r="AG111" s="503"/>
      <c r="AH111" s="501"/>
      <c r="AI111" s="503"/>
      <c r="AJ111" s="503"/>
      <c r="AK111" s="503"/>
      <c r="AL111" s="503"/>
      <c r="AM111" s="503"/>
      <c r="AN111" s="503"/>
      <c r="AO111" s="503"/>
      <c r="AP111" s="503"/>
      <c r="AQ111" s="503"/>
      <c r="AR111" s="503"/>
      <c r="AS111" s="503"/>
      <c r="AT111" s="502">
        <v>1250000</v>
      </c>
      <c r="AU111" s="503"/>
      <c r="AV111" s="503"/>
      <c r="AW111" s="503"/>
      <c r="AX111" s="503"/>
      <c r="AY111" s="501"/>
      <c r="AZ111" s="501">
        <f>SUM(AT111,AX111)</f>
        <v>1250000</v>
      </c>
      <c r="BA111" s="503"/>
      <c r="BB111" s="503"/>
      <c r="BC111" s="503"/>
      <c r="BD111" s="659"/>
      <c r="BE111" s="659"/>
      <c r="BF111" s="659"/>
      <c r="BG111" s="659"/>
      <c r="BH111" s="659"/>
      <c r="BI111" s="659"/>
      <c r="BJ111" s="659"/>
      <c r="BK111" s="513">
        <v>10</v>
      </c>
      <c r="BL111" s="659"/>
      <c r="BM111" s="659"/>
      <c r="BN111" s="515" t="s">
        <v>1937</v>
      </c>
      <c r="BO111" s="643"/>
      <c r="BP111" s="643"/>
    </row>
    <row r="112" spans="3:70" ht="40.15" customHeight="1">
      <c r="C112" s="2604"/>
      <c r="D112" s="652">
        <v>2</v>
      </c>
      <c r="E112" s="652"/>
      <c r="F112" s="653" t="s">
        <v>1938</v>
      </c>
      <c r="G112" s="652" t="s">
        <v>1939</v>
      </c>
      <c r="H112" s="654"/>
      <c r="I112" s="654"/>
      <c r="J112" s="654"/>
      <c r="K112" s="654"/>
      <c r="L112" s="655"/>
      <c r="M112" s="455">
        <v>43466</v>
      </c>
      <c r="N112" s="455">
        <v>45292</v>
      </c>
      <c r="O112" s="455">
        <v>46022</v>
      </c>
      <c r="P112" s="491">
        <f t="shared" si="95"/>
        <v>2</v>
      </c>
      <c r="Q112" s="492">
        <f t="shared" si="96"/>
        <v>24</v>
      </c>
      <c r="R112" s="493">
        <f t="shared" si="97"/>
        <v>19</v>
      </c>
      <c r="S112" s="656"/>
      <c r="T112" s="656"/>
      <c r="U112" s="491"/>
      <c r="V112" s="492"/>
      <c r="W112" s="492" t="str">
        <f>IFERROR(DATEDIF($R$1,T112,"m"),"만료")</f>
        <v>만료</v>
      </c>
      <c r="X112" s="495">
        <v>1</v>
      </c>
      <c r="Y112" s="496">
        <f t="shared" si="98"/>
        <v>45991</v>
      </c>
      <c r="Z112" s="657"/>
      <c r="AA112" s="658"/>
      <c r="AB112" s="503"/>
      <c r="AC112" s="503"/>
      <c r="AD112" s="503"/>
      <c r="AE112" s="503"/>
      <c r="AF112" s="503"/>
      <c r="AG112" s="503"/>
      <c r="AH112" s="503"/>
      <c r="AI112" s="503"/>
      <c r="AJ112" s="503"/>
      <c r="AK112" s="503"/>
      <c r="AL112" s="503"/>
      <c r="AM112" s="503"/>
      <c r="AN112" s="503"/>
      <c r="AO112" s="503"/>
      <c r="AP112" s="503"/>
      <c r="AQ112" s="503"/>
      <c r="AR112" s="503"/>
      <c r="AS112" s="503"/>
      <c r="AT112" s="502">
        <v>470000</v>
      </c>
      <c r="AU112" s="503"/>
      <c r="AV112" s="503"/>
      <c r="AW112" s="503"/>
      <c r="AX112" s="503"/>
      <c r="AY112" s="503"/>
      <c r="AZ112" s="501">
        <f>SUM(AT112,AX112)</f>
        <v>470000</v>
      </c>
      <c r="BA112" s="503"/>
      <c r="BB112" s="503"/>
      <c r="BC112" s="503"/>
      <c r="BD112" s="659"/>
      <c r="BE112" s="659"/>
      <c r="BF112" s="659"/>
      <c r="BG112" s="659"/>
      <c r="BH112" s="659"/>
      <c r="BI112" s="659"/>
      <c r="BJ112" s="659"/>
      <c r="BK112" s="513">
        <v>10</v>
      </c>
      <c r="BL112" s="659"/>
      <c r="BM112" s="659"/>
      <c r="BN112" s="515" t="s">
        <v>1937</v>
      </c>
      <c r="BO112" s="643"/>
      <c r="BP112" s="643"/>
    </row>
    <row r="113" spans="3:68" ht="40.15" customHeight="1">
      <c r="C113" s="2604"/>
      <c r="D113" s="652">
        <v>3</v>
      </c>
      <c r="E113" s="652"/>
      <c r="F113" s="653" t="s">
        <v>1938</v>
      </c>
      <c r="G113" s="652" t="s">
        <v>1940</v>
      </c>
      <c r="H113" s="654"/>
      <c r="I113" s="654"/>
      <c r="J113" s="654"/>
      <c r="K113" s="654"/>
      <c r="L113" s="655"/>
      <c r="M113" s="455">
        <v>43466</v>
      </c>
      <c r="N113" s="455">
        <v>45292</v>
      </c>
      <c r="O113" s="455">
        <v>46022</v>
      </c>
      <c r="P113" s="491">
        <f t="shared" si="95"/>
        <v>2</v>
      </c>
      <c r="Q113" s="492">
        <f t="shared" si="96"/>
        <v>24</v>
      </c>
      <c r="R113" s="493">
        <f t="shared" si="97"/>
        <v>19</v>
      </c>
      <c r="S113" s="656"/>
      <c r="T113" s="656"/>
      <c r="U113" s="491"/>
      <c r="V113" s="492"/>
      <c r="W113" s="492" t="str">
        <f>IFERROR(DATEDIF($R$1,T113,"m"),"만료")</f>
        <v>만료</v>
      </c>
      <c r="X113" s="495">
        <v>1</v>
      </c>
      <c r="Y113" s="496">
        <f t="shared" si="98"/>
        <v>45991</v>
      </c>
      <c r="Z113" s="657"/>
      <c r="AA113" s="658"/>
      <c r="AB113" s="503"/>
      <c r="AC113" s="503"/>
      <c r="AD113" s="503"/>
      <c r="AE113" s="503"/>
      <c r="AF113" s="503"/>
      <c r="AG113" s="503"/>
      <c r="AH113" s="503"/>
      <c r="AI113" s="503"/>
      <c r="AJ113" s="503"/>
      <c r="AK113" s="503"/>
      <c r="AL113" s="503"/>
      <c r="AM113" s="503"/>
      <c r="AN113" s="503"/>
      <c r="AO113" s="503"/>
      <c r="AP113" s="503"/>
      <c r="AQ113" s="503"/>
      <c r="AR113" s="503"/>
      <c r="AS113" s="503"/>
      <c r="AT113" s="502">
        <v>950000</v>
      </c>
      <c r="AU113" s="503"/>
      <c r="AV113" s="503"/>
      <c r="AW113" s="503"/>
      <c r="AX113" s="503"/>
      <c r="AY113" s="503"/>
      <c r="AZ113" s="501">
        <f>SUM(AT113,AX113)</f>
        <v>950000</v>
      </c>
      <c r="BA113" s="503"/>
      <c r="BB113" s="503"/>
      <c r="BC113" s="503"/>
      <c r="BD113" s="659"/>
      <c r="BE113" s="659"/>
      <c r="BF113" s="659"/>
      <c r="BG113" s="659"/>
      <c r="BH113" s="659"/>
      <c r="BI113" s="659"/>
      <c r="BJ113" s="659"/>
      <c r="BK113" s="513">
        <v>10</v>
      </c>
      <c r="BL113" s="659"/>
      <c r="BM113" s="659"/>
      <c r="BN113" s="515" t="s">
        <v>1937</v>
      </c>
      <c r="BO113" s="643"/>
      <c r="BP113" s="643"/>
    </row>
    <row r="114" spans="3:68" ht="40.15" customHeight="1">
      <c r="C114" s="2604"/>
      <c r="D114" s="660" t="s">
        <v>1817</v>
      </c>
      <c r="E114" s="660"/>
      <c r="F114" s="660"/>
      <c r="G114" s="660"/>
      <c r="H114" s="661"/>
      <c r="I114" s="661"/>
      <c r="J114" s="661"/>
      <c r="K114" s="661"/>
      <c r="L114" s="662"/>
      <c r="M114" s="586"/>
      <c r="N114" s="460"/>
      <c r="O114" s="460"/>
      <c r="P114" s="663"/>
      <c r="Q114" s="664"/>
      <c r="R114" s="665"/>
      <c r="S114" s="665"/>
      <c r="T114" s="665"/>
      <c r="U114" s="665"/>
      <c r="V114" s="665"/>
      <c r="W114" s="665"/>
      <c r="X114" s="665"/>
      <c r="Y114" s="665"/>
      <c r="Z114" s="666"/>
      <c r="AA114" s="667"/>
      <c r="AB114" s="553"/>
      <c r="AC114" s="553"/>
      <c r="AD114" s="553"/>
      <c r="AE114" s="553"/>
      <c r="AF114" s="668"/>
      <c r="AG114" s="668"/>
      <c r="AH114" s="553"/>
      <c r="AI114" s="553"/>
      <c r="AJ114" s="553"/>
      <c r="AK114" s="553"/>
      <c r="AL114" s="553"/>
      <c r="AM114" s="553"/>
      <c r="AN114" s="553"/>
      <c r="AO114" s="553"/>
      <c r="AP114" s="553"/>
      <c r="AQ114" s="553"/>
      <c r="AR114" s="553"/>
      <c r="AS114" s="553"/>
      <c r="AT114" s="553">
        <f>SUM(AT111:AT113)</f>
        <v>2670000</v>
      </c>
      <c r="AU114" s="553"/>
      <c r="AV114" s="553"/>
      <c r="AW114" s="553"/>
      <c r="AX114" s="553">
        <f>SUM(AX111:AX113)</f>
        <v>0</v>
      </c>
      <c r="AY114" s="553"/>
      <c r="AZ114" s="553">
        <f>SUM(AZ111:AZ113)</f>
        <v>2670000</v>
      </c>
      <c r="BA114" s="553"/>
      <c r="BB114" s="553"/>
      <c r="BC114" s="668"/>
      <c r="BD114" s="669"/>
      <c r="BE114" s="669"/>
      <c r="BF114" s="669"/>
      <c r="BG114" s="669"/>
      <c r="BH114" s="669"/>
      <c r="BI114" s="669"/>
      <c r="BJ114" s="669"/>
      <c r="BK114" s="669"/>
      <c r="BL114" s="669"/>
      <c r="BM114" s="669"/>
      <c r="BN114" s="669"/>
      <c r="BO114" s="643"/>
      <c r="BP114" s="643"/>
    </row>
    <row r="115" spans="3:68" ht="13.15" customHeight="1">
      <c r="C115" s="670"/>
      <c r="D115" s="670"/>
      <c r="E115" s="670"/>
      <c r="F115" s="670"/>
      <c r="G115" s="671"/>
      <c r="H115" s="672"/>
      <c r="I115" s="672"/>
      <c r="J115" s="672"/>
      <c r="K115" s="672"/>
      <c r="L115" s="673"/>
      <c r="M115" s="674"/>
      <c r="N115" s="467"/>
      <c r="O115" s="467"/>
      <c r="P115" s="675"/>
      <c r="Q115" s="676"/>
      <c r="R115" s="677"/>
      <c r="S115" s="677"/>
      <c r="T115" s="677"/>
      <c r="U115" s="677"/>
      <c r="V115" s="677"/>
      <c r="W115" s="677"/>
      <c r="X115" s="677"/>
      <c r="Y115" s="677"/>
      <c r="Z115" s="677"/>
      <c r="AA115" s="677"/>
      <c r="AB115" s="677"/>
      <c r="AC115" s="677"/>
      <c r="AD115" s="677"/>
      <c r="AE115" s="677"/>
      <c r="AF115" s="677"/>
      <c r="AG115" s="677"/>
      <c r="AH115" s="678"/>
      <c r="AI115" s="678"/>
      <c r="AJ115" s="678"/>
      <c r="AK115" s="678"/>
      <c r="AL115" s="678"/>
      <c r="AM115" s="678"/>
      <c r="AN115" s="678"/>
      <c r="AO115" s="678"/>
      <c r="AP115" s="678"/>
      <c r="AQ115" s="678"/>
      <c r="AR115" s="678"/>
      <c r="AS115" s="678"/>
      <c r="AT115" s="678"/>
      <c r="AU115" s="678"/>
      <c r="AV115" s="678"/>
      <c r="AW115" s="678"/>
      <c r="AX115" s="678"/>
      <c r="AY115" s="678"/>
      <c r="AZ115" s="678"/>
      <c r="BA115" s="678"/>
      <c r="BB115" s="678"/>
      <c r="BC115" s="679"/>
      <c r="BD115" s="643"/>
      <c r="BE115" s="643"/>
      <c r="BF115" s="643"/>
      <c r="BG115" s="643"/>
      <c r="BH115" s="643"/>
      <c r="BI115" s="643"/>
      <c r="BJ115" s="643"/>
      <c r="BK115" s="643"/>
      <c r="BL115" s="643"/>
      <c r="BM115" s="643"/>
      <c r="BN115" s="643"/>
      <c r="BO115" s="643"/>
      <c r="BP115" s="643"/>
    </row>
    <row r="116" spans="3:68" ht="39.6" customHeight="1">
      <c r="C116" s="680"/>
      <c r="D116" s="680"/>
      <c r="E116" s="680"/>
      <c r="F116" s="680"/>
      <c r="G116" s="681"/>
      <c r="H116" s="682"/>
      <c r="I116" s="682">
        <f>I103+I104</f>
        <v>185.63215</v>
      </c>
      <c r="J116" s="682">
        <f>I116*60000</f>
        <v>11137929</v>
      </c>
      <c r="K116" s="682"/>
      <c r="L116" s="683"/>
      <c r="M116" s="684"/>
      <c r="N116" s="685"/>
      <c r="O116" s="685"/>
      <c r="P116" s="686"/>
      <c r="Q116" s="687"/>
      <c r="R116" s="688"/>
      <c r="S116" s="688"/>
      <c r="T116" s="688"/>
      <c r="U116" s="688"/>
      <c r="V116" s="688"/>
      <c r="W116" s="688"/>
      <c r="X116" s="688"/>
      <c r="Y116" s="688"/>
      <c r="Z116" s="688"/>
      <c r="AA116" s="688"/>
      <c r="AB116" s="688"/>
      <c r="AC116" s="688"/>
      <c r="AD116" s="688"/>
      <c r="AE116" s="688"/>
      <c r="AF116" s="688"/>
      <c r="AG116" s="688"/>
      <c r="AH116" s="689"/>
      <c r="AI116" s="689"/>
      <c r="AJ116" s="689"/>
      <c r="AK116" s="689"/>
      <c r="AL116" s="689"/>
      <c r="AM116" s="689"/>
      <c r="AN116" s="689"/>
      <c r="AO116" s="689"/>
      <c r="AP116" s="689"/>
      <c r="AQ116" s="689"/>
      <c r="AR116" s="689"/>
      <c r="AS116" s="689"/>
      <c r="AT116" s="689">
        <v>1587989620</v>
      </c>
      <c r="AU116" s="689"/>
      <c r="AV116" s="689"/>
      <c r="AW116" s="689"/>
      <c r="AX116" s="689"/>
      <c r="AY116" s="689"/>
      <c r="AZ116" s="689"/>
      <c r="BA116" s="689"/>
      <c r="BB116" s="689"/>
      <c r="BC116" s="690"/>
      <c r="BD116" s="691"/>
      <c r="BE116" s="691"/>
      <c r="BF116" s="691"/>
      <c r="BG116" s="691"/>
      <c r="BH116" s="691"/>
      <c r="BI116" s="691"/>
      <c r="BJ116" s="691"/>
      <c r="BK116" s="691"/>
      <c r="BL116" s="691"/>
      <c r="BM116" s="691"/>
      <c r="BN116" s="691"/>
      <c r="BO116" s="691"/>
      <c r="BP116" s="691"/>
    </row>
    <row r="117" spans="3:68" ht="27.75">
      <c r="C117" s="692" t="s">
        <v>1941</v>
      </c>
      <c r="L117" s="696"/>
      <c r="N117" s="698"/>
      <c r="P117" s="457"/>
      <c r="AT117" s="700">
        <f>AT116-AT108</f>
        <v>-10346450</v>
      </c>
    </row>
    <row r="118" spans="3:68">
      <c r="I118" s="442">
        <v>0.30249999999999999</v>
      </c>
      <c r="J118" s="440"/>
      <c r="K118" s="442">
        <v>0.30249999999999999</v>
      </c>
    </row>
    <row r="119" spans="3:68" ht="48.6" customHeight="1">
      <c r="C119" s="2605" t="s">
        <v>1942</v>
      </c>
      <c r="D119" s="2605" t="s">
        <v>575</v>
      </c>
      <c r="E119" s="2605" t="s">
        <v>1719</v>
      </c>
      <c r="F119" s="2605" t="s">
        <v>1943</v>
      </c>
      <c r="G119" s="2605"/>
      <c r="H119" s="702" t="s">
        <v>1722</v>
      </c>
      <c r="I119" s="702"/>
      <c r="J119" s="702" t="s">
        <v>1723</v>
      </c>
      <c r="K119" s="702"/>
      <c r="L119" s="703" t="s">
        <v>1944</v>
      </c>
      <c r="M119" s="703" t="s">
        <v>1945</v>
      </c>
      <c r="N119" s="2605" t="s">
        <v>1946</v>
      </c>
      <c r="O119" s="2590" t="s">
        <v>1947</v>
      </c>
      <c r="P119" s="2590" t="s">
        <v>1948</v>
      </c>
      <c r="Q119" s="2602" t="s">
        <v>1949</v>
      </c>
      <c r="R119" s="2590" t="s">
        <v>1950</v>
      </c>
      <c r="S119" s="2590" t="s">
        <v>1951</v>
      </c>
      <c r="T119" s="952"/>
      <c r="U119" s="702"/>
      <c r="V119" s="702"/>
      <c r="W119" s="703"/>
      <c r="X119" s="953"/>
      <c r="Y119" s="702"/>
      <c r="Z119" s="702"/>
      <c r="AA119" s="702"/>
      <c r="AB119" s="702"/>
      <c r="AC119" s="702"/>
      <c r="AD119" s="702"/>
      <c r="AE119" s="702"/>
      <c r="AF119" s="478" t="s">
        <v>1731</v>
      </c>
      <c r="AG119" s="477"/>
      <c r="AH119" s="2591" t="s">
        <v>1952</v>
      </c>
      <c r="AI119" s="2592"/>
      <c r="AJ119" s="2593"/>
      <c r="AK119" s="703" t="s">
        <v>1953</v>
      </c>
      <c r="AL119" s="702"/>
      <c r="AM119" s="702"/>
      <c r="AN119" s="702"/>
      <c r="AO119" s="702"/>
      <c r="AP119" s="702"/>
      <c r="AQ119" s="702"/>
      <c r="AR119" s="702" t="s">
        <v>1733</v>
      </c>
      <c r="AS119" s="702"/>
      <c r="AT119" s="704"/>
      <c r="AU119" s="704"/>
      <c r="AV119" s="705" t="s">
        <v>1734</v>
      </c>
      <c r="AW119" s="706"/>
      <c r="AX119" s="707"/>
      <c r="AY119" s="705" t="s">
        <v>1954</v>
      </c>
      <c r="AZ119" s="706"/>
      <c r="BA119" s="477" t="s">
        <v>1736</v>
      </c>
      <c r="BB119" s="477"/>
      <c r="BC119" s="708"/>
      <c r="BD119" s="709"/>
      <c r="BE119" s="709"/>
    </row>
    <row r="120" spans="3:68" ht="62.45" customHeight="1">
      <c r="C120" s="2605"/>
      <c r="D120" s="2605"/>
      <c r="E120" s="2605"/>
      <c r="F120" s="2605"/>
      <c r="G120" s="2605"/>
      <c r="H120" s="952" t="s">
        <v>1743</v>
      </c>
      <c r="I120" s="952" t="s">
        <v>1744</v>
      </c>
      <c r="J120" s="952" t="s">
        <v>1743</v>
      </c>
      <c r="K120" s="952" t="s">
        <v>1744</v>
      </c>
      <c r="L120" s="952" t="s">
        <v>1745</v>
      </c>
      <c r="M120" s="952" t="s">
        <v>1745</v>
      </c>
      <c r="N120" s="2605"/>
      <c r="O120" s="2590"/>
      <c r="P120" s="2590"/>
      <c r="Q120" s="2606"/>
      <c r="R120" s="2590"/>
      <c r="S120" s="2590"/>
      <c r="T120" s="952"/>
      <c r="U120" s="702"/>
      <c r="V120" s="702"/>
      <c r="W120" s="702"/>
      <c r="X120" s="710"/>
      <c r="Y120" s="711"/>
      <c r="Z120" s="711"/>
      <c r="AA120" s="711"/>
      <c r="AB120" s="711"/>
      <c r="AC120" s="711"/>
      <c r="AD120" s="711"/>
      <c r="AE120" s="711"/>
      <c r="AF120" s="2597" t="s">
        <v>1760</v>
      </c>
      <c r="AG120" s="2599" t="s">
        <v>1761</v>
      </c>
      <c r="AH120" s="2594"/>
      <c r="AI120" s="2595"/>
      <c r="AJ120" s="2596"/>
      <c r="AK120" s="702" t="s">
        <v>1955</v>
      </c>
      <c r="AL120" s="703" t="s">
        <v>1763</v>
      </c>
      <c r="AM120" s="953" t="s">
        <v>1780</v>
      </c>
      <c r="AN120" s="953" t="s">
        <v>1781</v>
      </c>
      <c r="AO120" s="712" t="s">
        <v>1782</v>
      </c>
      <c r="AP120" s="713" t="s">
        <v>1783</v>
      </c>
      <c r="AQ120" s="713" t="s">
        <v>1784</v>
      </c>
      <c r="AR120" s="711" t="s">
        <v>1760</v>
      </c>
      <c r="AS120" s="711" t="s">
        <v>1778</v>
      </c>
      <c r="AT120" s="714" t="s">
        <v>1766</v>
      </c>
      <c r="AU120" s="715" t="s">
        <v>1767</v>
      </c>
      <c r="AV120" s="2597" t="s">
        <v>1760</v>
      </c>
      <c r="AW120" s="2597" t="s">
        <v>1778</v>
      </c>
      <c r="AX120" s="2602" t="s">
        <v>1956</v>
      </c>
      <c r="AY120" s="2586" t="s">
        <v>1957</v>
      </c>
      <c r="AZ120" s="2586" t="s">
        <v>1958</v>
      </c>
      <c r="BA120" s="2588" t="s">
        <v>1768</v>
      </c>
      <c r="BB120" s="2588" t="s">
        <v>1769</v>
      </c>
      <c r="BC120" s="2588" t="s">
        <v>1959</v>
      </c>
      <c r="BD120" s="709"/>
    </row>
    <row r="121" spans="3:68" ht="38.450000000000003" customHeight="1">
      <c r="C121" s="2605"/>
      <c r="D121" s="2605"/>
      <c r="E121" s="2605"/>
      <c r="F121" s="2605"/>
      <c r="G121" s="2605"/>
      <c r="H121" s="952"/>
      <c r="I121" s="952"/>
      <c r="J121" s="952"/>
      <c r="K121" s="952"/>
      <c r="L121" s="952"/>
      <c r="M121" s="952"/>
      <c r="N121" s="2605"/>
      <c r="O121" s="2590"/>
      <c r="P121" s="2590"/>
      <c r="Q121" s="2603"/>
      <c r="R121" s="2590"/>
      <c r="S121" s="2590"/>
      <c r="T121" s="952"/>
      <c r="U121" s="702"/>
      <c r="V121" s="702"/>
      <c r="W121" s="702"/>
      <c r="X121" s="710"/>
      <c r="Y121" s="711"/>
      <c r="Z121" s="711"/>
      <c r="AA121" s="711"/>
      <c r="AB121" s="711"/>
      <c r="AC121" s="711"/>
      <c r="AD121" s="711"/>
      <c r="AE121" s="711"/>
      <c r="AF121" s="2598"/>
      <c r="AG121" s="2600"/>
      <c r="AH121" s="702" t="s">
        <v>1732</v>
      </c>
      <c r="AI121" s="702" t="s">
        <v>1733</v>
      </c>
      <c r="AJ121" s="952" t="s">
        <v>1734</v>
      </c>
      <c r="AK121" s="702"/>
      <c r="AL121" s="703"/>
      <c r="AM121" s="703"/>
      <c r="AN121" s="703"/>
      <c r="AO121" s="702"/>
      <c r="AP121" s="702"/>
      <c r="AQ121" s="702"/>
      <c r="AR121" s="711"/>
      <c r="AS121" s="711"/>
      <c r="AT121" s="711"/>
      <c r="AU121" s="711"/>
      <c r="AV121" s="2601"/>
      <c r="AW121" s="2601"/>
      <c r="AX121" s="2603"/>
      <c r="AY121" s="2587"/>
      <c r="AZ121" s="2587"/>
      <c r="BA121" s="2588"/>
      <c r="BB121" s="2588"/>
      <c r="BC121" s="2588" t="s">
        <v>1959</v>
      </c>
      <c r="BD121" s="709"/>
    </row>
    <row r="122" spans="3:68" ht="16.5">
      <c r="C122" s="716">
        <v>1</v>
      </c>
      <c r="D122" s="717" t="s">
        <v>1786</v>
      </c>
      <c r="E122" s="717">
        <f t="shared" ref="E122:E160" si="99">COUNTIF($G$13:$G$104,F122)</f>
        <v>10</v>
      </c>
      <c r="F122" s="706" t="s">
        <v>1787</v>
      </c>
      <c r="G122" s="706"/>
      <c r="H122" s="718">
        <f t="shared" ref="H122:H159" si="100">SUMIF($G$13:$G$104,F122,H$13:H$104)</f>
        <v>13876.6</v>
      </c>
      <c r="I122" s="719">
        <f>H122*$I$118</f>
        <v>4197.6715000000004</v>
      </c>
      <c r="J122" s="718">
        <f t="shared" ref="J122:J159" si="101">SUMIF($G$13:$G$104,F122,J$13:J$104)</f>
        <v>5836.79</v>
      </c>
      <c r="K122" s="719">
        <f t="shared" ref="K122:K159" si="102">J122*$K$118</f>
        <v>1765.6289749999999</v>
      </c>
      <c r="L122" s="720">
        <f>H122/$H$161</f>
        <v>0.14967001432244292</v>
      </c>
      <c r="M122" s="721">
        <f t="shared" ref="M122:M161" si="103">J122/H122</f>
        <v>0.42062104550105933</v>
      </c>
      <c r="N122" s="722" t="s">
        <v>1960</v>
      </c>
      <c r="O122" s="723"/>
      <c r="P122" s="724">
        <f>SUMPRODUCT(($G$13:$G$114=$F122)*$I$13:$I$114,$Q$13:$Q$114)/$I122</f>
        <v>59.999999999999993</v>
      </c>
      <c r="Q122" s="725">
        <f>I122/$I$161</f>
        <v>0.14967001432244295</v>
      </c>
      <c r="R122" s="726">
        <f>IF(D122="Office",I122/$I$161,"N/A")</f>
        <v>0.14967001432244295</v>
      </c>
      <c r="S122" s="726" t="str">
        <f>IF(D122="Retail",I122/$I$161,"N/A")</f>
        <v>N/A</v>
      </c>
      <c r="T122" s="727"/>
      <c r="U122" s="727"/>
      <c r="V122" s="728"/>
      <c r="W122" s="728"/>
      <c r="X122" s="727"/>
      <c r="Y122" s="727"/>
      <c r="Z122" s="727"/>
      <c r="AA122" s="727"/>
      <c r="AB122" s="727"/>
      <c r="AC122" s="727"/>
      <c r="AD122" s="727"/>
      <c r="AE122" s="727"/>
      <c r="AF122" s="729">
        <f>SUMPRODUCT(($AF$13:$AF$114)*($G$13:$G$114=$F122),$K$13:$K$114)/$K122</f>
        <v>210174.27656339866</v>
      </c>
      <c r="AG122" s="729">
        <f>SUMPRODUCT(($AG$13:$AG$114)*($G$13:$G$114=$F122),$K$13:$K$114)/$K122</f>
        <v>179561.13108833262</v>
      </c>
      <c r="AH122" s="730">
        <f t="shared" ref="AH122:AH160" si="104">AK122/I122</f>
        <v>318375.794770982</v>
      </c>
      <c r="AI122" s="730">
        <f>AT122/I122</f>
        <v>55185.142524849776</v>
      </c>
      <c r="AJ122" s="730">
        <f>AX122/I122</f>
        <v>32422.641933748258</v>
      </c>
      <c r="AK122" s="718">
        <f>SUMIF($G$13:$G$104,$F122,AK$13:AK$104)</f>
        <v>1336437000.0000002</v>
      </c>
      <c r="AL122" s="718">
        <f>SUMIF($G$13:$G$104,$F122,AL$13:AL$104)</f>
        <v>0</v>
      </c>
      <c r="AM122" s="718">
        <f>SUMIF($G$13:$G$104,$F122,AM$13:AM$104)</f>
        <v>1336437000.0000002</v>
      </c>
      <c r="AN122" s="718">
        <f>SUMIF($G$13:$G$104,$F122,AN$13:AN$104)</f>
        <v>0</v>
      </c>
      <c r="AO122" s="718">
        <f t="shared" ref="AO122:AX137" si="105">SUMIF($G$13:$G$104,$F122,AO$13:AO$104)</f>
        <v>0</v>
      </c>
      <c r="AP122" s="718">
        <f t="shared" si="105"/>
        <v>0</v>
      </c>
      <c r="AQ122" s="718">
        <f t="shared" si="105"/>
        <v>0</v>
      </c>
      <c r="AR122" s="730">
        <f t="shared" si="105"/>
        <v>13898946000</v>
      </c>
      <c r="AS122" s="730">
        <f t="shared" si="105"/>
        <v>10655858600</v>
      </c>
      <c r="AT122" s="730">
        <f t="shared" si="105"/>
        <v>231649099.99999997</v>
      </c>
      <c r="AU122" s="730">
        <f t="shared" si="105"/>
        <v>177597643.33333328</v>
      </c>
      <c r="AV122" s="730">
        <f t="shared" si="105"/>
        <v>8165975999.999999</v>
      </c>
      <c r="AW122" s="730">
        <f t="shared" si="105"/>
        <v>8165975999.999999</v>
      </c>
      <c r="AX122" s="730">
        <f t="shared" si="105"/>
        <v>136099599.99999997</v>
      </c>
      <c r="AY122" s="730">
        <f>AZ122/I122</f>
        <v>87607.784458598049</v>
      </c>
      <c r="AZ122" s="730">
        <f t="shared" ref="AZ122:AZ149" si="106">SUMIF($G$13:$G$104,$F122,AZ$13:AZ$104)</f>
        <v>367748700</v>
      </c>
      <c r="BA122" s="731">
        <f>SUMIF($G$13:$G$104,F122,$BA$13:$BA$104)</f>
        <v>83</v>
      </c>
      <c r="BB122" s="731">
        <f>SUMIF($G$13:$G$104,F122,$BB$13:$BB$104)</f>
        <v>86</v>
      </c>
      <c r="BC122" s="732"/>
      <c r="BD122" s="709"/>
      <c r="BE122" s="709"/>
      <c r="BF122" s="709"/>
      <c r="BG122" s="709"/>
    </row>
    <row r="123" spans="3:68" ht="16.5">
      <c r="C123" s="716">
        <v>2</v>
      </c>
      <c r="D123" s="717" t="s">
        <v>1786</v>
      </c>
      <c r="E123" s="717">
        <f t="shared" si="99"/>
        <v>6</v>
      </c>
      <c r="F123" s="706" t="s">
        <v>1795</v>
      </c>
      <c r="G123" s="706"/>
      <c r="H123" s="718">
        <f t="shared" si="100"/>
        <v>11262.57</v>
      </c>
      <c r="I123" s="719">
        <f t="shared" ref="I123:I157" si="107">H123*$I$118</f>
        <v>3406.9274249999999</v>
      </c>
      <c r="J123" s="718">
        <f t="shared" si="101"/>
        <v>4625.0999999999995</v>
      </c>
      <c r="K123" s="719">
        <f t="shared" si="102"/>
        <v>1399.0927499999998</v>
      </c>
      <c r="L123" s="720">
        <f t="shared" ref="L123:L161" si="108">H123/$H$161</f>
        <v>0.12147565060659786</v>
      </c>
      <c r="M123" s="721">
        <f t="shared" si="103"/>
        <v>0.41066115460325658</v>
      </c>
      <c r="N123" s="722" t="s">
        <v>1961</v>
      </c>
      <c r="O123" s="728"/>
      <c r="P123" s="724">
        <f t="shared" ref="P123:P160" si="109">SUMPRODUCT(($G$13:$G$114=$F123)*$I$13:$I$114,$Q$13:$Q$114)/$I123</f>
        <v>60</v>
      </c>
      <c r="Q123" s="725">
        <f t="shared" ref="Q123:Q160" si="110">I123/$I$161</f>
        <v>0.12147565060659787</v>
      </c>
      <c r="R123" s="726">
        <f t="shared" ref="R123:R160" si="111">IF(D123="Office",I123/$I$161,"N/A")</f>
        <v>0.12147565060659787</v>
      </c>
      <c r="S123" s="726" t="str">
        <f t="shared" ref="S123:S160" si="112">IF(D123="Retail",I123/$I$161,"N/A")</f>
        <v>N/A</v>
      </c>
      <c r="T123" s="727"/>
      <c r="U123" s="727"/>
      <c r="V123" s="728"/>
      <c r="W123" s="728"/>
      <c r="X123" s="727"/>
      <c r="Y123" s="727"/>
      <c r="Z123" s="727"/>
      <c r="AA123" s="727"/>
      <c r="AB123" s="727"/>
      <c r="AC123" s="727"/>
      <c r="AD123" s="727"/>
      <c r="AE123" s="727"/>
      <c r="AF123" s="729">
        <f t="shared" ref="AF123:AF160" si="113">SUMPRODUCT(($AF$13:$AF$114)*($G$13:$G$114=$F123),$K$13:$K$114)/$K123</f>
        <v>214311.51544456222</v>
      </c>
      <c r="AG123" s="729">
        <f t="shared" ref="AG123:AG160" si="114">SUMPRODUCT(($AG$13:$AG$114)*($G$13:$G$114=$F123),$K$13:$K$114)/$K123</f>
        <v>183101.35681378763</v>
      </c>
      <c r="AH123" s="730">
        <f t="shared" si="104"/>
        <v>312643.87734939787</v>
      </c>
      <c r="AI123" s="730">
        <f t="shared" ref="AI123:AI160" si="115">AT123/I123</f>
        <v>54929.141908562968</v>
      </c>
      <c r="AJ123" s="730">
        <f t="shared" ref="AJ123:AJ160" si="116">AX123/I123</f>
        <v>32298.662775301116</v>
      </c>
      <c r="AK123" s="718">
        <f t="shared" ref="AK123:AK160" si="117">SUMIF($G$13:$G$104,F123,AK$13:AK$104)</f>
        <v>1065154999.9999998</v>
      </c>
      <c r="AL123" s="718">
        <f t="shared" ref="AL123:AX150" si="118">SUMIF($G$13:$G$104,$F123,AL$13:AL$104)</f>
        <v>0</v>
      </c>
      <c r="AM123" s="718">
        <f t="shared" si="118"/>
        <v>1065154999.9999998</v>
      </c>
      <c r="AN123" s="718">
        <f t="shared" si="118"/>
        <v>0</v>
      </c>
      <c r="AO123" s="718">
        <f t="shared" si="118"/>
        <v>0</v>
      </c>
      <c r="AP123" s="718">
        <f t="shared" si="118"/>
        <v>0</v>
      </c>
      <c r="AQ123" s="718">
        <f t="shared" si="118"/>
        <v>0</v>
      </c>
      <c r="AR123" s="730">
        <f t="shared" si="105"/>
        <v>11228375999.999998</v>
      </c>
      <c r="AS123" s="730">
        <f t="shared" si="105"/>
        <v>8608421600</v>
      </c>
      <c r="AT123" s="730">
        <f t="shared" si="105"/>
        <v>187139600</v>
      </c>
      <c r="AU123" s="730">
        <f t="shared" si="105"/>
        <v>143473693.33333334</v>
      </c>
      <c r="AV123" s="730">
        <f t="shared" si="105"/>
        <v>6602351999.999999</v>
      </c>
      <c r="AW123" s="730">
        <f t="shared" si="105"/>
        <v>6602351999.999999</v>
      </c>
      <c r="AX123" s="730">
        <f t="shared" si="105"/>
        <v>110039199.99999999</v>
      </c>
      <c r="AY123" s="730">
        <f t="shared" ref="AY123:AY160" si="119">AZ123/I123</f>
        <v>87227.804683864073</v>
      </c>
      <c r="AZ123" s="730">
        <f t="shared" si="106"/>
        <v>297178799.99999994</v>
      </c>
      <c r="BA123" s="731">
        <f t="shared" ref="BA123:BA160" si="120">SUMIF($G$13:$G$104,F123,$BA$13:$BA$104)</f>
        <v>69</v>
      </c>
      <c r="BB123" s="731">
        <f t="shared" ref="BB123:BB160" si="121">SUMIF($G$13:$G$104,F123,$BB$13:$BB$104)</f>
        <v>69.999999999999986</v>
      </c>
      <c r="BC123" s="514"/>
    </row>
    <row r="124" spans="3:68" ht="16.5">
      <c r="C124" s="716">
        <v>3</v>
      </c>
      <c r="D124" s="717" t="s">
        <v>1786</v>
      </c>
      <c r="E124" s="717">
        <f t="shared" si="99"/>
        <v>7</v>
      </c>
      <c r="F124" s="706" t="s">
        <v>1696</v>
      </c>
      <c r="G124" s="706"/>
      <c r="H124" s="718">
        <f t="shared" si="100"/>
        <v>3011.1000000000004</v>
      </c>
      <c r="I124" s="719">
        <f t="shared" si="107"/>
        <v>910.85775000000012</v>
      </c>
      <c r="J124" s="718">
        <f t="shared" si="101"/>
        <v>1134.1300000000001</v>
      </c>
      <c r="K124" s="719">
        <f t="shared" si="102"/>
        <v>343.07432500000004</v>
      </c>
      <c r="L124" s="720">
        <f t="shared" si="108"/>
        <v>3.2477075085129488E-2</v>
      </c>
      <c r="M124" s="721">
        <f t="shared" si="103"/>
        <v>0.37664972933479457</v>
      </c>
      <c r="N124" s="722"/>
      <c r="O124" s="728"/>
      <c r="P124" s="724">
        <f t="shared" si="109"/>
        <v>29.937504566437514</v>
      </c>
      <c r="Q124" s="725">
        <f t="shared" si="110"/>
        <v>3.2477075085129495E-2</v>
      </c>
      <c r="R124" s="726">
        <f t="shared" si="111"/>
        <v>3.2477075085129495E-2</v>
      </c>
      <c r="S124" s="726" t="str">
        <f t="shared" si="112"/>
        <v>N/A</v>
      </c>
      <c r="T124" s="727"/>
      <c r="U124" s="727"/>
      <c r="V124" s="728"/>
      <c r="W124" s="728"/>
      <c r="X124" s="727"/>
      <c r="Y124" s="727"/>
      <c r="Z124" s="727"/>
      <c r="AA124" s="727"/>
      <c r="AB124" s="727"/>
      <c r="AC124" s="727"/>
      <c r="AD124" s="727"/>
      <c r="AE124" s="727"/>
      <c r="AF124" s="729">
        <f t="shared" si="113"/>
        <v>258419.95316903995</v>
      </c>
      <c r="AG124" s="729">
        <f t="shared" si="114"/>
        <v>222754.2501517591</v>
      </c>
      <c r="AH124" s="730">
        <f t="shared" si="104"/>
        <v>540216.51569633116</v>
      </c>
      <c r="AI124" s="730">
        <f t="shared" si="115"/>
        <v>61083.63243327511</v>
      </c>
      <c r="AJ124" s="730">
        <f t="shared" si="116"/>
        <v>34899.631693313248</v>
      </c>
      <c r="AK124" s="718">
        <f t="shared" si="117"/>
        <v>492060400</v>
      </c>
      <c r="AL124" s="718">
        <f t="shared" si="118"/>
        <v>0</v>
      </c>
      <c r="AM124" s="718">
        <f t="shared" si="118"/>
        <v>492060400</v>
      </c>
      <c r="AN124" s="718">
        <f t="shared" si="118"/>
        <v>0</v>
      </c>
      <c r="AO124" s="718">
        <f t="shared" si="118"/>
        <v>0</v>
      </c>
      <c r="AP124" s="718">
        <f t="shared" si="118"/>
        <v>0</v>
      </c>
      <c r="AQ124" s="718">
        <f t="shared" si="118"/>
        <v>0</v>
      </c>
      <c r="AR124" s="730">
        <f t="shared" si="105"/>
        <v>1655786800</v>
      </c>
      <c r="AS124" s="730">
        <f t="shared" si="105"/>
        <v>1267384500</v>
      </c>
      <c r="AT124" s="730">
        <f t="shared" si="105"/>
        <v>55638500</v>
      </c>
      <c r="AU124" s="730">
        <f t="shared" si="105"/>
        <v>43263696.345029235</v>
      </c>
      <c r="AV124" s="730">
        <f t="shared" si="105"/>
        <v>950926800</v>
      </c>
      <c r="AW124" s="730">
        <f t="shared" si="105"/>
        <v>955924200</v>
      </c>
      <c r="AX124" s="730">
        <f t="shared" si="105"/>
        <v>31788600</v>
      </c>
      <c r="AY124" s="730">
        <f t="shared" si="119"/>
        <v>95983.264126588358</v>
      </c>
      <c r="AZ124" s="730">
        <f t="shared" si="106"/>
        <v>87427100</v>
      </c>
      <c r="BA124" s="731">
        <f t="shared" si="120"/>
        <v>19</v>
      </c>
      <c r="BB124" s="731">
        <f t="shared" si="121"/>
        <v>18</v>
      </c>
      <c r="BC124" s="514"/>
    </row>
    <row r="125" spans="3:68" ht="16.5">
      <c r="C125" s="716">
        <v>4</v>
      </c>
      <c r="D125" s="717" t="s">
        <v>1786</v>
      </c>
      <c r="E125" s="717">
        <f t="shared" si="99"/>
        <v>1</v>
      </c>
      <c r="F125" s="706" t="s">
        <v>1803</v>
      </c>
      <c r="G125" s="706"/>
      <c r="H125" s="718">
        <f t="shared" si="100"/>
        <v>659.56</v>
      </c>
      <c r="I125" s="719">
        <f t="shared" si="107"/>
        <v>199.51689999999996</v>
      </c>
      <c r="J125" s="718">
        <f t="shared" si="101"/>
        <v>244.43</v>
      </c>
      <c r="K125" s="719">
        <f t="shared" si="102"/>
        <v>73.940074999999993</v>
      </c>
      <c r="L125" s="720">
        <f t="shared" si="108"/>
        <v>7.1138718883956035E-3</v>
      </c>
      <c r="M125" s="721">
        <f t="shared" si="103"/>
        <v>0.37059554854751658</v>
      </c>
      <c r="N125" s="722"/>
      <c r="O125" s="728"/>
      <c r="P125" s="724">
        <f t="shared" si="109"/>
        <v>60</v>
      </c>
      <c r="Q125" s="725">
        <f t="shared" si="110"/>
        <v>7.1138718883956044E-3</v>
      </c>
      <c r="R125" s="726">
        <f t="shared" si="111"/>
        <v>7.1138718883956044E-3</v>
      </c>
      <c r="S125" s="726" t="str">
        <f t="shared" si="112"/>
        <v>N/A</v>
      </c>
      <c r="T125" s="727"/>
      <c r="U125" s="727"/>
      <c r="V125" s="728"/>
      <c r="W125" s="728"/>
      <c r="X125" s="727"/>
      <c r="Y125" s="727"/>
      <c r="Z125" s="727"/>
      <c r="AA125" s="727"/>
      <c r="AB125" s="727"/>
      <c r="AC125" s="727"/>
      <c r="AD125" s="727"/>
      <c r="AE125" s="727"/>
      <c r="AF125" s="729">
        <f t="shared" si="113"/>
        <v>275485.24937254936</v>
      </c>
      <c r="AG125" s="729">
        <f t="shared" si="114"/>
        <v>231731.57452166502</v>
      </c>
      <c r="AH125" s="730">
        <f t="shared" si="104"/>
        <v>215520.58998510908</v>
      </c>
      <c r="AI125" s="730">
        <f t="shared" si="115"/>
        <v>64859.668529332615</v>
      </c>
      <c r="AJ125" s="730">
        <f t="shared" si="116"/>
        <v>36695.137103673929</v>
      </c>
      <c r="AK125" s="718">
        <f t="shared" si="117"/>
        <v>43000000</v>
      </c>
      <c r="AL125" s="718">
        <f t="shared" si="118"/>
        <v>0</v>
      </c>
      <c r="AM125" s="718">
        <f t="shared" si="118"/>
        <v>43000000</v>
      </c>
      <c r="AN125" s="718">
        <f t="shared" si="118"/>
        <v>0</v>
      </c>
      <c r="AO125" s="718">
        <f t="shared" si="118"/>
        <v>0</v>
      </c>
      <c r="AP125" s="718">
        <f t="shared" si="118"/>
        <v>0</v>
      </c>
      <c r="AQ125" s="718">
        <f t="shared" si="118"/>
        <v>0</v>
      </c>
      <c r="AR125" s="730">
        <f t="shared" si="105"/>
        <v>776436000</v>
      </c>
      <c r="AS125" s="730">
        <f t="shared" si="105"/>
        <v>582327000</v>
      </c>
      <c r="AT125" s="730">
        <f t="shared" si="105"/>
        <v>12940600</v>
      </c>
      <c r="AU125" s="730">
        <f t="shared" si="105"/>
        <v>9705450</v>
      </c>
      <c r="AV125" s="730">
        <f t="shared" si="105"/>
        <v>439277999.99999994</v>
      </c>
      <c r="AW125" s="730">
        <f t="shared" si="105"/>
        <v>439277999.99999994</v>
      </c>
      <c r="AX125" s="730">
        <f t="shared" si="105"/>
        <v>7321300</v>
      </c>
      <c r="AY125" s="730">
        <f t="shared" si="119"/>
        <v>101554.80563300654</v>
      </c>
      <c r="AZ125" s="730">
        <f t="shared" si="106"/>
        <v>20261900</v>
      </c>
      <c r="BA125" s="731">
        <f t="shared" si="120"/>
        <v>4</v>
      </c>
      <c r="BB125" s="731">
        <f t="shared" si="121"/>
        <v>4</v>
      </c>
      <c r="BC125" s="514"/>
    </row>
    <row r="126" spans="3:68" ht="16.5">
      <c r="C126" s="716">
        <v>5</v>
      </c>
      <c r="D126" s="717" t="s">
        <v>1786</v>
      </c>
      <c r="E126" s="717">
        <f t="shared" si="99"/>
        <v>4</v>
      </c>
      <c r="F126" s="706" t="s">
        <v>1807</v>
      </c>
      <c r="G126" s="706"/>
      <c r="H126" s="718">
        <f t="shared" si="100"/>
        <v>3818.9</v>
      </c>
      <c r="I126" s="719">
        <f t="shared" si="107"/>
        <v>1155.2172499999999</v>
      </c>
      <c r="J126" s="718">
        <f t="shared" si="101"/>
        <v>1424.3600000000001</v>
      </c>
      <c r="K126" s="719">
        <f t="shared" si="102"/>
        <v>430.86890000000005</v>
      </c>
      <c r="L126" s="720">
        <f t="shared" si="108"/>
        <v>4.1189831637142904E-2</v>
      </c>
      <c r="M126" s="721">
        <f t="shared" si="103"/>
        <v>0.37297651156092071</v>
      </c>
      <c r="N126" s="722"/>
      <c r="O126" s="728"/>
      <c r="P126" s="724">
        <f t="shared" si="109"/>
        <v>39.459477860116792</v>
      </c>
      <c r="Q126" s="725">
        <f t="shared" si="110"/>
        <v>4.1189831637142911E-2</v>
      </c>
      <c r="R126" s="726">
        <f t="shared" si="111"/>
        <v>4.1189831637142911E-2</v>
      </c>
      <c r="S126" s="726" t="str">
        <f t="shared" si="112"/>
        <v>N/A</v>
      </c>
      <c r="T126" s="727"/>
      <c r="U126" s="727"/>
      <c r="V126" s="728"/>
      <c r="W126" s="728"/>
      <c r="X126" s="727"/>
      <c r="Y126" s="727"/>
      <c r="Z126" s="727"/>
      <c r="AA126" s="727"/>
      <c r="AB126" s="727"/>
      <c r="AC126" s="727"/>
      <c r="AD126" s="727"/>
      <c r="AE126" s="727"/>
      <c r="AF126" s="729">
        <f t="shared" si="113"/>
        <v>245614.16361217992</v>
      </c>
      <c r="AG126" s="729">
        <f t="shared" si="114"/>
        <v>211900.80863317076</v>
      </c>
      <c r="AH126" s="730">
        <f t="shared" si="104"/>
        <v>289236.50508161995</v>
      </c>
      <c r="AI126" s="730">
        <f t="shared" si="115"/>
        <v>58208.358644229047</v>
      </c>
      <c r="AJ126" s="730">
        <f t="shared" si="116"/>
        <v>32676.864027091011</v>
      </c>
      <c r="AK126" s="718">
        <f t="shared" si="117"/>
        <v>334131000</v>
      </c>
      <c r="AL126" s="718">
        <f t="shared" si="118"/>
        <v>0</v>
      </c>
      <c r="AM126" s="718">
        <f t="shared" si="118"/>
        <v>334131000</v>
      </c>
      <c r="AN126" s="718">
        <f t="shared" si="118"/>
        <v>0</v>
      </c>
      <c r="AO126" s="718">
        <f t="shared" si="118"/>
        <v>0</v>
      </c>
      <c r="AP126" s="718">
        <f t="shared" si="118"/>
        <v>0</v>
      </c>
      <c r="AQ126" s="718">
        <f t="shared" si="118"/>
        <v>0</v>
      </c>
      <c r="AR126" s="730">
        <f t="shared" si="105"/>
        <v>2648118600</v>
      </c>
      <c r="AS126" s="730">
        <f t="shared" si="105"/>
        <v>2042758951.6129034</v>
      </c>
      <c r="AT126" s="730">
        <f t="shared" si="105"/>
        <v>67243300</v>
      </c>
      <c r="AU126" s="730">
        <f t="shared" si="105"/>
        <v>52717263.824884795</v>
      </c>
      <c r="AV126" s="730">
        <f t="shared" si="105"/>
        <v>1482732834</v>
      </c>
      <c r="AW126" s="730">
        <f t="shared" si="105"/>
        <v>1482732834</v>
      </c>
      <c r="AX126" s="730">
        <f t="shared" si="105"/>
        <v>37748877</v>
      </c>
      <c r="AY126" s="730">
        <f t="shared" si="119"/>
        <v>90885.222671320051</v>
      </c>
      <c r="AZ126" s="730">
        <f t="shared" si="106"/>
        <v>104992177</v>
      </c>
      <c r="BA126" s="731">
        <f t="shared" si="120"/>
        <v>24</v>
      </c>
      <c r="BB126" s="731">
        <f t="shared" si="121"/>
        <v>22</v>
      </c>
      <c r="BC126" s="514"/>
    </row>
    <row r="127" spans="3:68" ht="16.5">
      <c r="C127" s="716">
        <v>6</v>
      </c>
      <c r="D127" s="717" t="s">
        <v>1786</v>
      </c>
      <c r="E127" s="717">
        <f t="shared" si="99"/>
        <v>1</v>
      </c>
      <c r="F127" s="706" t="s">
        <v>1810</v>
      </c>
      <c r="G127" s="706"/>
      <c r="H127" s="718">
        <f t="shared" si="100"/>
        <v>862.77</v>
      </c>
      <c r="I127" s="719">
        <f t="shared" si="107"/>
        <v>260.98792499999996</v>
      </c>
      <c r="J127" s="718">
        <f t="shared" si="101"/>
        <v>319.75</v>
      </c>
      <c r="K127" s="719">
        <f t="shared" si="102"/>
        <v>96.724374999999995</v>
      </c>
      <c r="L127" s="720">
        <f t="shared" si="108"/>
        <v>9.3056511146083383E-3</v>
      </c>
      <c r="M127" s="721">
        <f t="shared" si="103"/>
        <v>0.37060862106934639</v>
      </c>
      <c r="N127" s="722"/>
      <c r="O127" s="728"/>
      <c r="P127" s="724">
        <f t="shared" si="109"/>
        <v>36</v>
      </c>
      <c r="Q127" s="725">
        <f t="shared" si="110"/>
        <v>9.3056511146083383E-3</v>
      </c>
      <c r="R127" s="726">
        <f t="shared" si="111"/>
        <v>9.3056511146083383E-3</v>
      </c>
      <c r="S127" s="726" t="str">
        <f t="shared" si="112"/>
        <v>N/A</v>
      </c>
      <c r="T127" s="727"/>
      <c r="U127" s="727"/>
      <c r="V127" s="728"/>
      <c r="W127" s="728"/>
      <c r="X127" s="727"/>
      <c r="Y127" s="727"/>
      <c r="Z127" s="727"/>
      <c r="AA127" s="727"/>
      <c r="AB127" s="727"/>
      <c r="AC127" s="727"/>
      <c r="AD127" s="727"/>
      <c r="AE127" s="727"/>
      <c r="AF127" s="729">
        <f t="shared" si="113"/>
        <v>260925.79352412463</v>
      </c>
      <c r="AG127" s="729">
        <f t="shared" si="114"/>
        <v>233818.87244037507</v>
      </c>
      <c r="AH127" s="730">
        <f t="shared" si="104"/>
        <v>519999.99616840517</v>
      </c>
      <c r="AI127" s="730">
        <f t="shared" si="115"/>
        <v>60276.351865704142</v>
      </c>
      <c r="AJ127" s="730">
        <f t="shared" si="116"/>
        <v>35124.996683275676</v>
      </c>
      <c r="AK127" s="718">
        <f t="shared" si="117"/>
        <v>135713720</v>
      </c>
      <c r="AL127" s="718">
        <f t="shared" si="118"/>
        <v>0</v>
      </c>
      <c r="AM127" s="718">
        <f t="shared" si="118"/>
        <v>135713720</v>
      </c>
      <c r="AN127" s="718">
        <f t="shared" si="118"/>
        <v>0</v>
      </c>
      <c r="AO127" s="718">
        <f t="shared" si="118"/>
        <v>0</v>
      </c>
      <c r="AP127" s="718">
        <f t="shared" si="118"/>
        <v>0</v>
      </c>
      <c r="AQ127" s="718">
        <f t="shared" si="118"/>
        <v>0</v>
      </c>
      <c r="AR127" s="730">
        <f t="shared" si="105"/>
        <v>566330400</v>
      </c>
      <c r="AS127" s="730">
        <f t="shared" si="105"/>
        <v>471942000</v>
      </c>
      <c r="AT127" s="730">
        <f t="shared" si="105"/>
        <v>15731400</v>
      </c>
      <c r="AU127" s="730">
        <f t="shared" si="105"/>
        <v>13109500</v>
      </c>
      <c r="AV127" s="730">
        <f t="shared" si="105"/>
        <v>330019200</v>
      </c>
      <c r="AW127" s="730">
        <f t="shared" si="105"/>
        <v>330019200</v>
      </c>
      <c r="AX127" s="730">
        <f t="shared" si="105"/>
        <v>9167200</v>
      </c>
      <c r="AY127" s="730">
        <f t="shared" si="119"/>
        <v>95401.348548979819</v>
      </c>
      <c r="AZ127" s="730">
        <f t="shared" si="106"/>
        <v>24898600</v>
      </c>
      <c r="BA127" s="731">
        <f t="shared" si="120"/>
        <v>5</v>
      </c>
      <c r="BB127" s="731">
        <f t="shared" si="121"/>
        <v>5</v>
      </c>
      <c r="BC127" s="733"/>
      <c r="BD127" s="709"/>
      <c r="BF127" s="709"/>
      <c r="BG127" s="709"/>
    </row>
    <row r="128" spans="3:68" ht="16.5">
      <c r="C128" s="716">
        <v>7</v>
      </c>
      <c r="D128" s="717" t="s">
        <v>1786</v>
      </c>
      <c r="E128" s="717">
        <f t="shared" si="99"/>
        <v>6</v>
      </c>
      <c r="F128" s="706" t="s">
        <v>1814</v>
      </c>
      <c r="G128" s="706"/>
      <c r="H128" s="718">
        <f t="shared" si="100"/>
        <v>12301.700000000003</v>
      </c>
      <c r="I128" s="719">
        <f t="shared" si="107"/>
        <v>3721.2642500000006</v>
      </c>
      <c r="J128" s="718">
        <f t="shared" si="101"/>
        <v>5142.37</v>
      </c>
      <c r="K128" s="719">
        <f t="shared" si="102"/>
        <v>1555.5669249999999</v>
      </c>
      <c r="L128" s="720">
        <f t="shared" si="108"/>
        <v>0.13268348263914764</v>
      </c>
      <c r="M128" s="721">
        <f t="shared" si="103"/>
        <v>0.41802108651649761</v>
      </c>
      <c r="N128" s="722"/>
      <c r="O128" s="728"/>
      <c r="P128" s="724">
        <f t="shared" si="109"/>
        <v>59.613095750993757</v>
      </c>
      <c r="Q128" s="725">
        <f t="shared" si="110"/>
        <v>0.13268348263914767</v>
      </c>
      <c r="R128" s="726">
        <f t="shared" si="111"/>
        <v>0.13268348263914767</v>
      </c>
      <c r="S128" s="726" t="str">
        <f t="shared" si="112"/>
        <v>N/A</v>
      </c>
      <c r="T128" s="727"/>
      <c r="U128" s="727"/>
      <c r="V128" s="728"/>
      <c r="W128" s="728"/>
      <c r="X128" s="727"/>
      <c r="Y128" s="727"/>
      <c r="Z128" s="727"/>
      <c r="AA128" s="727"/>
      <c r="AB128" s="727"/>
      <c r="AC128" s="727"/>
      <c r="AD128" s="727"/>
      <c r="AE128" s="727"/>
      <c r="AF128" s="729">
        <f t="shared" si="113"/>
        <v>218265.92095997412</v>
      </c>
      <c r="AG128" s="729">
        <f t="shared" si="114"/>
        <v>180739.08860344501</v>
      </c>
      <c r="AH128" s="730">
        <f t="shared" si="104"/>
        <v>879448.16066206503</v>
      </c>
      <c r="AI128" s="730">
        <f t="shared" si="115"/>
        <v>55065.291318669435</v>
      </c>
      <c r="AJ128" s="730">
        <f t="shared" si="116"/>
        <v>33975.845708887762</v>
      </c>
      <c r="AK128" s="718">
        <f t="shared" si="117"/>
        <v>3272658999.9999995</v>
      </c>
      <c r="AL128" s="718">
        <f t="shared" si="118"/>
        <v>0</v>
      </c>
      <c r="AM128" s="718">
        <f t="shared" si="118"/>
        <v>3272658999.9999995</v>
      </c>
      <c r="AN128" s="718">
        <f t="shared" si="118"/>
        <v>0</v>
      </c>
      <c r="AO128" s="718">
        <f t="shared" si="118"/>
        <v>0</v>
      </c>
      <c r="AP128" s="718">
        <f t="shared" si="118"/>
        <v>0</v>
      </c>
      <c r="AQ128" s="718">
        <f t="shared" si="118"/>
        <v>0</v>
      </c>
      <c r="AR128" s="730">
        <f t="shared" si="105"/>
        <v>12215474999.999998</v>
      </c>
      <c r="AS128" s="730">
        <f t="shared" si="105"/>
        <v>8737624999.9999981</v>
      </c>
      <c r="AT128" s="730">
        <f t="shared" si="105"/>
        <v>204912499.99999997</v>
      </c>
      <c r="AU128" s="730">
        <f t="shared" si="105"/>
        <v>146537000.78616351</v>
      </c>
      <c r="AV128" s="730">
        <f t="shared" si="105"/>
        <v>7537069999.999999</v>
      </c>
      <c r="AW128" s="730">
        <f t="shared" si="105"/>
        <v>7537069999.999999</v>
      </c>
      <c r="AX128" s="730">
        <f t="shared" si="105"/>
        <v>126433099.99999997</v>
      </c>
      <c r="AY128" s="730">
        <f t="shared" si="119"/>
        <v>89041.137027557197</v>
      </c>
      <c r="AZ128" s="730">
        <f t="shared" si="106"/>
        <v>331345599.99999994</v>
      </c>
      <c r="BA128" s="731">
        <f t="shared" si="120"/>
        <v>75</v>
      </c>
      <c r="BB128" s="731">
        <f t="shared" si="121"/>
        <v>76.999999999999986</v>
      </c>
      <c r="BC128" s="514"/>
    </row>
    <row r="129" spans="3:56" ht="16.5">
      <c r="C129" s="716">
        <v>8</v>
      </c>
      <c r="D129" s="717" t="s">
        <v>1786</v>
      </c>
      <c r="E129" s="717">
        <f t="shared" si="99"/>
        <v>6</v>
      </c>
      <c r="F129" s="706" t="s">
        <v>656</v>
      </c>
      <c r="G129" s="706"/>
      <c r="H129" s="718">
        <f t="shared" si="100"/>
        <v>4978.1299999999992</v>
      </c>
      <c r="I129" s="719">
        <f t="shared" si="107"/>
        <v>1505.8843249999998</v>
      </c>
      <c r="J129" s="718">
        <f t="shared" si="101"/>
        <v>1898.5</v>
      </c>
      <c r="K129" s="719">
        <f t="shared" si="102"/>
        <v>574.29624999999999</v>
      </c>
      <c r="L129" s="720">
        <f t="shared" si="108"/>
        <v>5.3693036363300993E-2</v>
      </c>
      <c r="M129" s="721">
        <f t="shared" si="103"/>
        <v>0.38136810408727784</v>
      </c>
      <c r="N129" s="722"/>
      <c r="O129" s="728"/>
      <c r="P129" s="724">
        <f t="shared" si="109"/>
        <v>59.130633390449823</v>
      </c>
      <c r="Q129" s="725">
        <f t="shared" si="110"/>
        <v>5.3693036363301007E-2</v>
      </c>
      <c r="R129" s="726">
        <f t="shared" si="111"/>
        <v>5.3693036363301007E-2</v>
      </c>
      <c r="S129" s="726" t="str">
        <f t="shared" si="112"/>
        <v>N/A</v>
      </c>
      <c r="T129" s="727"/>
      <c r="U129" s="727"/>
      <c r="V129" s="728"/>
      <c r="W129" s="728"/>
      <c r="X129" s="727"/>
      <c r="Y129" s="727"/>
      <c r="Z129" s="727"/>
      <c r="AA129" s="727"/>
      <c r="AB129" s="727"/>
      <c r="AC129" s="727"/>
      <c r="AD129" s="727"/>
      <c r="AE129" s="727"/>
      <c r="AF129" s="729">
        <f t="shared" si="113"/>
        <v>238150.89337602328</v>
      </c>
      <c r="AG129" s="729">
        <f t="shared" si="114"/>
        <v>196326.67868876376</v>
      </c>
      <c r="AH129" s="730">
        <f t="shared" si="104"/>
        <v>254873.49435023838</v>
      </c>
      <c r="AI129" s="730">
        <f t="shared" si="115"/>
        <v>58168.969917393893</v>
      </c>
      <c r="AJ129" s="730">
        <f t="shared" si="116"/>
        <v>32017.001040235948</v>
      </c>
      <c r="AK129" s="718">
        <f t="shared" si="117"/>
        <v>383810000</v>
      </c>
      <c r="AL129" s="718">
        <f t="shared" si="118"/>
        <v>0</v>
      </c>
      <c r="AM129" s="718">
        <f t="shared" si="118"/>
        <v>195242400</v>
      </c>
      <c r="AN129" s="718">
        <f t="shared" si="118"/>
        <v>188567600.00000003</v>
      </c>
      <c r="AO129" s="718">
        <f t="shared" si="118"/>
        <v>0</v>
      </c>
      <c r="AP129" s="718">
        <f t="shared" si="118"/>
        <v>0</v>
      </c>
      <c r="AQ129" s="718">
        <f t="shared" si="118"/>
        <v>0</v>
      </c>
      <c r="AR129" s="730">
        <f t="shared" si="105"/>
        <v>5172881200</v>
      </c>
      <c r="AS129" s="730">
        <f t="shared" si="105"/>
        <v>3742775600</v>
      </c>
      <c r="AT129" s="730">
        <f t="shared" si="105"/>
        <v>87595740</v>
      </c>
      <c r="AU129" s="730">
        <f t="shared" si="105"/>
        <v>63447955.345911957</v>
      </c>
      <c r="AV129" s="730">
        <f t="shared" si="105"/>
        <v>2845826200</v>
      </c>
      <c r="AW129" s="730">
        <f t="shared" si="105"/>
        <v>2853523900</v>
      </c>
      <c r="AX129" s="730">
        <f t="shared" si="105"/>
        <v>48213900</v>
      </c>
      <c r="AY129" s="730">
        <f t="shared" si="119"/>
        <v>90185.970957629848</v>
      </c>
      <c r="AZ129" s="730">
        <f t="shared" si="106"/>
        <v>135809640</v>
      </c>
      <c r="BA129" s="731">
        <f t="shared" si="120"/>
        <v>30</v>
      </c>
      <c r="BB129" s="731">
        <f t="shared" si="121"/>
        <v>42</v>
      </c>
      <c r="BC129" s="514"/>
    </row>
    <row r="130" spans="3:56" ht="16.5">
      <c r="C130" s="716">
        <v>9</v>
      </c>
      <c r="D130" s="717" t="s">
        <v>1786</v>
      </c>
      <c r="E130" s="717">
        <f t="shared" si="99"/>
        <v>4</v>
      </c>
      <c r="F130" s="706" t="s">
        <v>1822</v>
      </c>
      <c r="G130" s="706"/>
      <c r="H130" s="718">
        <f t="shared" si="100"/>
        <v>5852.42</v>
      </c>
      <c r="I130" s="719">
        <f t="shared" si="107"/>
        <v>1770.3570500000001</v>
      </c>
      <c r="J130" s="718">
        <f t="shared" si="101"/>
        <v>2166.1999999999998</v>
      </c>
      <c r="K130" s="719">
        <f t="shared" si="102"/>
        <v>655.27549999999997</v>
      </c>
      <c r="L130" s="720">
        <f t="shared" si="108"/>
        <v>6.3122939712966536E-2</v>
      </c>
      <c r="M130" s="721">
        <f t="shared" si="103"/>
        <v>0.37013748158881282</v>
      </c>
      <c r="N130" s="722"/>
      <c r="O130" s="728"/>
      <c r="P130" s="724">
        <f t="shared" si="109"/>
        <v>36</v>
      </c>
      <c r="Q130" s="725">
        <f t="shared" si="110"/>
        <v>6.312293971296655E-2</v>
      </c>
      <c r="R130" s="726">
        <f t="shared" si="111"/>
        <v>6.312293971296655E-2</v>
      </c>
      <c r="S130" s="726" t="str">
        <f t="shared" si="112"/>
        <v>N/A</v>
      </c>
      <c r="T130" s="727"/>
      <c r="U130" s="727"/>
      <c r="V130" s="728"/>
      <c r="W130" s="728"/>
      <c r="X130" s="727"/>
      <c r="Y130" s="727"/>
      <c r="Z130" s="727"/>
      <c r="AA130" s="727"/>
      <c r="AB130" s="727"/>
      <c r="AC130" s="727"/>
      <c r="AD130" s="727"/>
      <c r="AE130" s="727"/>
      <c r="AF130" s="729">
        <f t="shared" si="113"/>
        <v>248264.55818964695</v>
      </c>
      <c r="AG130" s="729">
        <f t="shared" si="114"/>
        <v>224715.50642948403</v>
      </c>
      <c r="AH130" s="730">
        <f t="shared" si="104"/>
        <v>1199618.4611460159</v>
      </c>
      <c r="AI130" s="730">
        <f t="shared" si="115"/>
        <v>52298.320273867917</v>
      </c>
      <c r="AJ130" s="730">
        <f t="shared" si="116"/>
        <v>36594.651909342239</v>
      </c>
      <c r="AK130" s="718">
        <f t="shared" si="117"/>
        <v>2123753000.0000002</v>
      </c>
      <c r="AL130" s="718">
        <f t="shared" si="118"/>
        <v>0</v>
      </c>
      <c r="AM130" s="718">
        <f t="shared" si="118"/>
        <v>2123753000.0000002</v>
      </c>
      <c r="AN130" s="718">
        <f t="shared" si="118"/>
        <v>0</v>
      </c>
      <c r="AO130" s="718">
        <f t="shared" si="118"/>
        <v>0</v>
      </c>
      <c r="AP130" s="718">
        <f t="shared" si="118"/>
        <v>0</v>
      </c>
      <c r="AQ130" s="718">
        <f t="shared" si="118"/>
        <v>0</v>
      </c>
      <c r="AR130" s="730">
        <f t="shared" si="105"/>
        <v>3333121200.0000005</v>
      </c>
      <c r="AS130" s="730">
        <f t="shared" si="105"/>
        <v>2777601000.0000005</v>
      </c>
      <c r="AT130" s="730">
        <f t="shared" si="105"/>
        <v>92586700</v>
      </c>
      <c r="AU130" s="730">
        <f t="shared" si="105"/>
        <v>77155583.333333328</v>
      </c>
      <c r="AV130" s="730">
        <f t="shared" si="105"/>
        <v>2332281600</v>
      </c>
      <c r="AW130" s="730">
        <f t="shared" si="105"/>
        <v>2332281600</v>
      </c>
      <c r="AX130" s="730">
        <f t="shared" si="105"/>
        <v>64785600</v>
      </c>
      <c r="AY130" s="730">
        <f t="shared" si="119"/>
        <v>88892.972183210164</v>
      </c>
      <c r="AZ130" s="730">
        <f t="shared" si="106"/>
        <v>157372300</v>
      </c>
      <c r="BA130" s="731">
        <f t="shared" si="120"/>
        <v>36</v>
      </c>
      <c r="BB130" s="731">
        <f t="shared" si="121"/>
        <v>38</v>
      </c>
      <c r="BC130" s="514"/>
    </row>
    <row r="131" spans="3:56" ht="16.5">
      <c r="C131" s="716">
        <v>10</v>
      </c>
      <c r="D131" s="717" t="s">
        <v>1786</v>
      </c>
      <c r="E131" s="717">
        <f t="shared" si="99"/>
        <v>1</v>
      </c>
      <c r="F131" s="706" t="s">
        <v>1826</v>
      </c>
      <c r="G131" s="706"/>
      <c r="H131" s="718">
        <f t="shared" si="100"/>
        <v>322.05</v>
      </c>
      <c r="I131" s="719">
        <f t="shared" si="107"/>
        <v>97.420124999999999</v>
      </c>
      <c r="J131" s="718">
        <f t="shared" si="101"/>
        <v>120.73585287</v>
      </c>
      <c r="K131" s="719">
        <f t="shared" si="102"/>
        <v>36.522595493174997</v>
      </c>
      <c r="L131" s="720">
        <f t="shared" si="108"/>
        <v>3.4735618316116875E-3</v>
      </c>
      <c r="M131" s="721">
        <f t="shared" si="103"/>
        <v>0.37489785086166744</v>
      </c>
      <c r="N131" s="722"/>
      <c r="O131" s="728"/>
      <c r="P131" s="724">
        <f t="shared" si="109"/>
        <v>59.999999999999993</v>
      </c>
      <c r="Q131" s="725">
        <f t="shared" si="110"/>
        <v>3.4735618316116879E-3</v>
      </c>
      <c r="R131" s="726">
        <f t="shared" si="111"/>
        <v>3.4735618316116879E-3</v>
      </c>
      <c r="S131" s="726" t="str">
        <f t="shared" si="112"/>
        <v>N/A</v>
      </c>
      <c r="T131" s="727"/>
      <c r="U131" s="727"/>
      <c r="V131" s="728"/>
      <c r="W131" s="728"/>
      <c r="X131" s="727"/>
      <c r="Y131" s="727"/>
      <c r="Z131" s="727"/>
      <c r="AA131" s="727"/>
      <c r="AB131" s="727"/>
      <c r="AC131" s="727"/>
      <c r="AD131" s="727"/>
      <c r="AE131" s="727"/>
      <c r="AF131" s="729">
        <f t="shared" si="113"/>
        <v>244860.79450928333</v>
      </c>
      <c r="AG131" s="729">
        <f t="shared" si="114"/>
        <v>194482.84878860851</v>
      </c>
      <c r="AH131" s="730">
        <f t="shared" si="104"/>
        <v>549996.21484780486</v>
      </c>
      <c r="AI131" s="730">
        <f t="shared" si="115"/>
        <v>56659.750744520192</v>
      </c>
      <c r="AJ131" s="730">
        <f t="shared" si="116"/>
        <v>33763.044340170985</v>
      </c>
      <c r="AK131" s="718">
        <f t="shared" si="117"/>
        <v>53580700</v>
      </c>
      <c r="AL131" s="718">
        <f t="shared" si="118"/>
        <v>0</v>
      </c>
      <c r="AM131" s="718">
        <f t="shared" si="118"/>
        <v>53580700</v>
      </c>
      <c r="AN131" s="718">
        <f t="shared" si="118"/>
        <v>0</v>
      </c>
      <c r="AO131" s="718">
        <f t="shared" si="118"/>
        <v>0</v>
      </c>
      <c r="AP131" s="718">
        <f t="shared" si="118"/>
        <v>0</v>
      </c>
      <c r="AQ131" s="718">
        <f t="shared" si="118"/>
        <v>0</v>
      </c>
      <c r="AR131" s="730">
        <f t="shared" si="105"/>
        <v>331188000</v>
      </c>
      <c r="AS131" s="730">
        <f t="shared" si="105"/>
        <v>220792000</v>
      </c>
      <c r="AT131" s="730">
        <f t="shared" si="105"/>
        <v>5519800</v>
      </c>
      <c r="AU131" s="730">
        <f t="shared" si="105"/>
        <v>3679866.6666666665</v>
      </c>
      <c r="AV131" s="730">
        <f t="shared" si="105"/>
        <v>197351999.99999997</v>
      </c>
      <c r="AW131" s="730">
        <f t="shared" si="105"/>
        <v>197351999.99999997</v>
      </c>
      <c r="AX131" s="730">
        <f t="shared" si="105"/>
        <v>3289200</v>
      </c>
      <c r="AY131" s="730">
        <f t="shared" si="119"/>
        <v>90422.795084691184</v>
      </c>
      <c r="AZ131" s="730">
        <f t="shared" si="106"/>
        <v>8809000</v>
      </c>
      <c r="BA131" s="731">
        <f t="shared" si="120"/>
        <v>2</v>
      </c>
      <c r="BB131" s="731">
        <f t="shared" si="121"/>
        <v>2</v>
      </c>
      <c r="BC131" s="734"/>
      <c r="BD131" s="709"/>
    </row>
    <row r="132" spans="3:56" ht="16.5">
      <c r="C132" s="716">
        <v>11</v>
      </c>
      <c r="D132" s="717" t="s">
        <v>1786</v>
      </c>
      <c r="E132" s="717">
        <f t="shared" si="99"/>
        <v>1</v>
      </c>
      <c r="F132" s="706" t="s">
        <v>1829</v>
      </c>
      <c r="G132" s="706"/>
      <c r="H132" s="718">
        <f t="shared" si="100"/>
        <v>636.23</v>
      </c>
      <c r="I132" s="719">
        <f t="shared" si="107"/>
        <v>192.459575</v>
      </c>
      <c r="J132" s="718">
        <f t="shared" si="101"/>
        <v>238.56414713000001</v>
      </c>
      <c r="K132" s="719">
        <f t="shared" si="102"/>
        <v>72.165654506825007</v>
      </c>
      <c r="L132" s="720">
        <f t="shared" si="108"/>
        <v>6.862239540836217E-3</v>
      </c>
      <c r="M132" s="721">
        <f t="shared" si="103"/>
        <v>0.3749652596230923</v>
      </c>
      <c r="N132" s="722"/>
      <c r="O132" s="728"/>
      <c r="P132" s="724">
        <f t="shared" si="109"/>
        <v>62.999999999999993</v>
      </c>
      <c r="Q132" s="725">
        <f t="shared" si="110"/>
        <v>6.8622395408362187E-3</v>
      </c>
      <c r="R132" s="726">
        <f t="shared" si="111"/>
        <v>6.8622395408362187E-3</v>
      </c>
      <c r="S132" s="726" t="str">
        <f t="shared" si="112"/>
        <v>N/A</v>
      </c>
      <c r="T132" s="727"/>
      <c r="U132" s="727"/>
      <c r="V132" s="728"/>
      <c r="W132" s="728"/>
      <c r="X132" s="727"/>
      <c r="Y132" s="727"/>
      <c r="Z132" s="727"/>
      <c r="AA132" s="727"/>
      <c r="AB132" s="727"/>
      <c r="AC132" s="727"/>
      <c r="AD132" s="727"/>
      <c r="AE132" s="727"/>
      <c r="AF132" s="729">
        <f t="shared" si="113"/>
        <v>191764.66415462503</v>
      </c>
      <c r="AG132" s="729">
        <f t="shared" si="114"/>
        <v>186969.29501752087</v>
      </c>
      <c r="AH132" s="730">
        <f t="shared" si="104"/>
        <v>550001.21454076783</v>
      </c>
      <c r="AI132" s="730">
        <f t="shared" si="115"/>
        <v>37760.033503139552</v>
      </c>
      <c r="AJ132" s="730">
        <f t="shared" si="116"/>
        <v>32770.050541782606</v>
      </c>
      <c r="AK132" s="718">
        <f t="shared" si="117"/>
        <v>105853000</v>
      </c>
      <c r="AL132" s="718">
        <f t="shared" si="118"/>
        <v>0</v>
      </c>
      <c r="AM132" s="718">
        <f t="shared" si="118"/>
        <v>105853000</v>
      </c>
      <c r="AN132" s="718">
        <f t="shared" si="118"/>
        <v>0</v>
      </c>
      <c r="AO132" s="718">
        <f t="shared" si="118"/>
        <v>0</v>
      </c>
      <c r="AP132" s="718">
        <f t="shared" si="118"/>
        <v>0</v>
      </c>
      <c r="AQ132" s="718">
        <f t="shared" si="118"/>
        <v>0</v>
      </c>
      <c r="AR132" s="730">
        <f t="shared" si="105"/>
        <v>457838639.99999994</v>
      </c>
      <c r="AS132" s="730">
        <f t="shared" si="105"/>
        <v>436036800</v>
      </c>
      <c r="AT132" s="730">
        <f t="shared" si="105"/>
        <v>7267280</v>
      </c>
      <c r="AU132" s="730">
        <f t="shared" si="105"/>
        <v>6921219.0476190476</v>
      </c>
      <c r="AV132" s="730">
        <f t="shared" si="105"/>
        <v>397335330</v>
      </c>
      <c r="AW132" s="730">
        <f t="shared" si="105"/>
        <v>397335330</v>
      </c>
      <c r="AX132" s="730">
        <f t="shared" si="105"/>
        <v>6306910</v>
      </c>
      <c r="AY132" s="730">
        <f t="shared" si="119"/>
        <v>70530.084044922158</v>
      </c>
      <c r="AZ132" s="730">
        <f t="shared" si="106"/>
        <v>13574190</v>
      </c>
      <c r="BA132" s="731">
        <f t="shared" si="120"/>
        <v>4</v>
      </c>
      <c r="BB132" s="731">
        <f t="shared" si="121"/>
        <v>4</v>
      </c>
      <c r="BC132" s="514"/>
    </row>
    <row r="133" spans="3:56" ht="16.5">
      <c r="C133" s="716">
        <v>12</v>
      </c>
      <c r="D133" s="717" t="s">
        <v>1786</v>
      </c>
      <c r="E133" s="717">
        <f t="shared" si="99"/>
        <v>4</v>
      </c>
      <c r="F133" s="706" t="s">
        <v>1832</v>
      </c>
      <c r="G133" s="706"/>
      <c r="H133" s="718">
        <f t="shared" si="100"/>
        <v>4770.3900000000003</v>
      </c>
      <c r="I133" s="719">
        <f t="shared" si="107"/>
        <v>1443.0429750000001</v>
      </c>
      <c r="J133" s="718">
        <f t="shared" si="101"/>
        <v>1776.1399999999999</v>
      </c>
      <c r="K133" s="719">
        <f t="shared" si="102"/>
        <v>537.28234999999995</v>
      </c>
      <c r="L133" s="720">
        <f t="shared" si="108"/>
        <v>5.1452397534240267E-2</v>
      </c>
      <c r="M133" s="721">
        <f t="shared" si="103"/>
        <v>0.3723259523854443</v>
      </c>
      <c r="N133" s="722"/>
      <c r="O133" s="728"/>
      <c r="P133" s="724">
        <f t="shared" si="109"/>
        <v>57.991057334934872</v>
      </c>
      <c r="Q133" s="725">
        <f t="shared" si="110"/>
        <v>5.1452397534240274E-2</v>
      </c>
      <c r="R133" s="726">
        <f t="shared" si="111"/>
        <v>5.1452397534240274E-2</v>
      </c>
      <c r="S133" s="726" t="str">
        <f t="shared" si="112"/>
        <v>N/A</v>
      </c>
      <c r="T133" s="727"/>
      <c r="U133" s="727"/>
      <c r="V133" s="728"/>
      <c r="W133" s="728"/>
      <c r="X133" s="727"/>
      <c r="Y133" s="727"/>
      <c r="Z133" s="727"/>
      <c r="AA133" s="727"/>
      <c r="AB133" s="727"/>
      <c r="AC133" s="727"/>
      <c r="AD133" s="727"/>
      <c r="AE133" s="727"/>
      <c r="AF133" s="729">
        <f t="shared" si="113"/>
        <v>238034.990354699</v>
      </c>
      <c r="AG133" s="729">
        <f t="shared" si="114"/>
        <v>179228.58927330194</v>
      </c>
      <c r="AH133" s="730">
        <f t="shared" si="104"/>
        <v>550004.13275980228</v>
      </c>
      <c r="AI133" s="730">
        <f t="shared" si="115"/>
        <v>56456.946474515076</v>
      </c>
      <c r="AJ133" s="730">
        <f t="shared" si="116"/>
        <v>30794.647678458779</v>
      </c>
      <c r="AK133" s="718">
        <f t="shared" si="117"/>
        <v>793679600</v>
      </c>
      <c r="AL133" s="718">
        <f t="shared" si="118"/>
        <v>0</v>
      </c>
      <c r="AM133" s="718">
        <f t="shared" si="118"/>
        <v>793679600</v>
      </c>
      <c r="AN133" s="718">
        <f t="shared" si="118"/>
        <v>0</v>
      </c>
      <c r="AO133" s="718">
        <f t="shared" si="118"/>
        <v>0</v>
      </c>
      <c r="AP133" s="718">
        <f t="shared" si="118"/>
        <v>0</v>
      </c>
      <c r="AQ133" s="718">
        <f t="shared" si="118"/>
        <v>0</v>
      </c>
      <c r="AR133" s="730">
        <f t="shared" si="105"/>
        <v>4722298800</v>
      </c>
      <c r="AS133" s="730">
        <f t="shared" si="105"/>
        <v>2844113117</v>
      </c>
      <c r="AT133" s="730">
        <f t="shared" si="105"/>
        <v>81469800</v>
      </c>
      <c r="AU133" s="730">
        <f t="shared" si="105"/>
        <v>49128169.770833336</v>
      </c>
      <c r="AV133" s="730">
        <f t="shared" si="105"/>
        <v>2575795200</v>
      </c>
      <c r="AW133" s="730">
        <f t="shared" si="105"/>
        <v>2616727778.666667</v>
      </c>
      <c r="AX133" s="730">
        <f t="shared" si="105"/>
        <v>44438000</v>
      </c>
      <c r="AY133" s="730">
        <f t="shared" si="119"/>
        <v>87251.594152973848</v>
      </c>
      <c r="AZ133" s="730">
        <f t="shared" si="106"/>
        <v>125907800</v>
      </c>
      <c r="BA133" s="731">
        <f t="shared" si="120"/>
        <v>29</v>
      </c>
      <c r="BB133" s="731">
        <f t="shared" si="121"/>
        <v>29</v>
      </c>
      <c r="BC133" s="514"/>
    </row>
    <row r="134" spans="3:56" ht="16.5">
      <c r="C134" s="716">
        <v>13</v>
      </c>
      <c r="D134" s="717" t="s">
        <v>1786</v>
      </c>
      <c r="E134" s="717">
        <f t="shared" si="99"/>
        <v>3</v>
      </c>
      <c r="F134" s="706" t="s">
        <v>1837</v>
      </c>
      <c r="G134" s="706"/>
      <c r="H134" s="718">
        <f t="shared" si="100"/>
        <v>3682.2</v>
      </c>
      <c r="I134" s="719">
        <f t="shared" si="107"/>
        <v>1113.8654999999999</v>
      </c>
      <c r="J134" s="718">
        <f t="shared" si="101"/>
        <v>1529.54</v>
      </c>
      <c r="K134" s="719">
        <f t="shared" si="102"/>
        <v>462.68584999999996</v>
      </c>
      <c r="L134" s="720">
        <f t="shared" si="108"/>
        <v>3.9715414924268139E-2</v>
      </c>
      <c r="M134" s="721">
        <f t="shared" si="103"/>
        <v>0.41538754005757428</v>
      </c>
      <c r="N134" s="722"/>
      <c r="O134" s="728"/>
      <c r="P134" s="724">
        <f t="shared" si="109"/>
        <v>36.000000000000007</v>
      </c>
      <c r="Q134" s="725">
        <f t="shared" si="110"/>
        <v>3.9715414924268146E-2</v>
      </c>
      <c r="R134" s="726">
        <f t="shared" si="111"/>
        <v>3.9715414924268146E-2</v>
      </c>
      <c r="S134" s="726" t="str">
        <f t="shared" si="112"/>
        <v>N/A</v>
      </c>
      <c r="T134" s="727"/>
      <c r="U134" s="727"/>
      <c r="V134" s="728"/>
      <c r="W134" s="728"/>
      <c r="X134" s="727"/>
      <c r="Y134" s="727"/>
      <c r="Z134" s="727"/>
      <c r="AA134" s="727"/>
      <c r="AB134" s="727"/>
      <c r="AC134" s="727"/>
      <c r="AD134" s="727"/>
      <c r="AE134" s="727"/>
      <c r="AF134" s="729">
        <f t="shared" si="113"/>
        <v>219021.39162025379</v>
      </c>
      <c r="AG134" s="729">
        <f t="shared" si="114"/>
        <v>195997.38227712535</v>
      </c>
      <c r="AH134" s="730">
        <f t="shared" si="104"/>
        <v>536473.65862395416</v>
      </c>
      <c r="AI134" s="730">
        <f t="shared" si="115"/>
        <v>57383.319619828435</v>
      </c>
      <c r="AJ134" s="730">
        <f t="shared" si="116"/>
        <v>32254.253318735526</v>
      </c>
      <c r="AK134" s="718">
        <f t="shared" si="117"/>
        <v>597559500</v>
      </c>
      <c r="AL134" s="718">
        <f t="shared" si="118"/>
        <v>0</v>
      </c>
      <c r="AM134" s="718">
        <f t="shared" si="118"/>
        <v>576119500</v>
      </c>
      <c r="AN134" s="718">
        <f t="shared" si="118"/>
        <v>21440000</v>
      </c>
      <c r="AO134" s="718">
        <f t="shared" si="118"/>
        <v>0</v>
      </c>
      <c r="AP134" s="718">
        <f t="shared" si="118"/>
        <v>0</v>
      </c>
      <c r="AQ134" s="718">
        <f t="shared" si="118"/>
        <v>0</v>
      </c>
      <c r="AR134" s="730">
        <f t="shared" si="105"/>
        <v>2301022800</v>
      </c>
      <c r="AS134" s="730">
        <f t="shared" si="105"/>
        <v>1917519000</v>
      </c>
      <c r="AT134" s="730">
        <f t="shared" si="105"/>
        <v>63917300</v>
      </c>
      <c r="AU134" s="730">
        <f t="shared" si="105"/>
        <v>53264416.666666672</v>
      </c>
      <c r="AV134" s="730">
        <f t="shared" si="105"/>
        <v>1293368400</v>
      </c>
      <c r="AW134" s="730">
        <f t="shared" si="105"/>
        <v>1293368400</v>
      </c>
      <c r="AX134" s="730">
        <f t="shared" si="105"/>
        <v>35926900</v>
      </c>
      <c r="AY134" s="730">
        <f t="shared" si="119"/>
        <v>89637.572938563957</v>
      </c>
      <c r="AZ134" s="730">
        <f t="shared" si="106"/>
        <v>99844200</v>
      </c>
      <c r="BA134" s="731">
        <f t="shared" si="120"/>
        <v>23</v>
      </c>
      <c r="BB134" s="731">
        <f t="shared" si="121"/>
        <v>29.999999999999996</v>
      </c>
      <c r="BC134" s="514"/>
    </row>
    <row r="135" spans="3:56" ht="16.5">
      <c r="C135" s="716">
        <v>14</v>
      </c>
      <c r="D135" s="717" t="s">
        <v>1786</v>
      </c>
      <c r="E135" s="717">
        <f t="shared" si="99"/>
        <v>1</v>
      </c>
      <c r="F135" s="706" t="s">
        <v>1840</v>
      </c>
      <c r="G135" s="706"/>
      <c r="H135" s="718">
        <f t="shared" si="100"/>
        <v>987.1</v>
      </c>
      <c r="I135" s="719">
        <f t="shared" si="107"/>
        <v>298.59775000000002</v>
      </c>
      <c r="J135" s="718">
        <f t="shared" si="101"/>
        <v>370.06</v>
      </c>
      <c r="K135" s="719">
        <f t="shared" si="102"/>
        <v>111.94315</v>
      </c>
      <c r="L135" s="720">
        <f t="shared" si="108"/>
        <v>1.0646647675776732E-2</v>
      </c>
      <c r="M135" s="721">
        <f t="shared" si="103"/>
        <v>0.3748961604700638</v>
      </c>
      <c r="N135" s="722"/>
      <c r="O135" s="728"/>
      <c r="P135" s="724">
        <f t="shared" si="109"/>
        <v>60</v>
      </c>
      <c r="Q135" s="725">
        <f t="shared" si="110"/>
        <v>1.0646647675776734E-2</v>
      </c>
      <c r="R135" s="726">
        <f t="shared" si="111"/>
        <v>1.0646647675776734E-2</v>
      </c>
      <c r="S135" s="726" t="str">
        <f t="shared" si="112"/>
        <v>N/A</v>
      </c>
      <c r="T135" s="727"/>
      <c r="U135" s="727"/>
      <c r="V135" s="728"/>
      <c r="W135" s="728"/>
      <c r="X135" s="727"/>
      <c r="Y135" s="727"/>
      <c r="Z135" s="727"/>
      <c r="AA135" s="727"/>
      <c r="AB135" s="727"/>
      <c r="AC135" s="727"/>
      <c r="AD135" s="727"/>
      <c r="AE135" s="727"/>
      <c r="AF135" s="729">
        <f t="shared" si="113"/>
        <v>244273.76753289503</v>
      </c>
      <c r="AG135" s="729">
        <f t="shared" si="114"/>
        <v>181998.94321358652</v>
      </c>
      <c r="AH135" s="730">
        <f t="shared" si="104"/>
        <v>550004.14437148301</v>
      </c>
      <c r="AI135" s="730">
        <f t="shared" si="115"/>
        <v>58366.481328141286</v>
      </c>
      <c r="AJ135" s="730">
        <f t="shared" si="116"/>
        <v>31835.80586256929</v>
      </c>
      <c r="AK135" s="718">
        <f t="shared" si="117"/>
        <v>164230000</v>
      </c>
      <c r="AL135" s="718">
        <f t="shared" si="118"/>
        <v>0</v>
      </c>
      <c r="AM135" s="718">
        <f t="shared" si="118"/>
        <v>164230000</v>
      </c>
      <c r="AN135" s="718">
        <f t="shared" si="118"/>
        <v>0</v>
      </c>
      <c r="AO135" s="718">
        <f t="shared" si="118"/>
        <v>0</v>
      </c>
      <c r="AP135" s="718">
        <f t="shared" si="118"/>
        <v>0</v>
      </c>
      <c r="AQ135" s="718">
        <f t="shared" si="118"/>
        <v>0</v>
      </c>
      <c r="AR135" s="730">
        <f t="shared" si="105"/>
        <v>1045686000.0000001</v>
      </c>
      <c r="AS135" s="730">
        <f t="shared" si="105"/>
        <v>627411600</v>
      </c>
      <c r="AT135" s="730">
        <f t="shared" si="105"/>
        <v>17428100</v>
      </c>
      <c r="AU135" s="730">
        <f t="shared" si="105"/>
        <v>10456860</v>
      </c>
      <c r="AV135" s="730">
        <f t="shared" si="105"/>
        <v>570366000</v>
      </c>
      <c r="AW135" s="730">
        <f t="shared" si="105"/>
        <v>570366000</v>
      </c>
      <c r="AX135" s="730">
        <f t="shared" si="105"/>
        <v>9506100</v>
      </c>
      <c r="AY135" s="730">
        <f t="shared" si="119"/>
        <v>90202.287190710573</v>
      </c>
      <c r="AZ135" s="730">
        <f t="shared" si="106"/>
        <v>26934200</v>
      </c>
      <c r="BA135" s="731">
        <f t="shared" si="120"/>
        <v>6</v>
      </c>
      <c r="BB135" s="731">
        <f t="shared" si="121"/>
        <v>6</v>
      </c>
      <c r="BC135" s="514"/>
    </row>
    <row r="136" spans="3:56" ht="16.5">
      <c r="C136" s="716">
        <v>15</v>
      </c>
      <c r="D136" s="717" t="s">
        <v>1786</v>
      </c>
      <c r="E136" s="717">
        <f t="shared" si="99"/>
        <v>1</v>
      </c>
      <c r="F136" s="706" t="s">
        <v>1843</v>
      </c>
      <c r="G136" s="706"/>
      <c r="H136" s="718">
        <f t="shared" si="100"/>
        <v>527.69000000000005</v>
      </c>
      <c r="I136" s="719">
        <f t="shared" si="107"/>
        <v>159.62622500000001</v>
      </c>
      <c r="J136" s="718">
        <f t="shared" si="101"/>
        <v>197.86</v>
      </c>
      <c r="K136" s="719">
        <f t="shared" si="102"/>
        <v>59.852650000000004</v>
      </c>
      <c r="L136" s="720">
        <f t="shared" si="108"/>
        <v>5.6915505136567969E-3</v>
      </c>
      <c r="M136" s="721">
        <f t="shared" si="103"/>
        <v>0.37495499251454451</v>
      </c>
      <c r="N136" s="722"/>
      <c r="O136" s="728"/>
      <c r="P136" s="724">
        <f t="shared" si="109"/>
        <v>52</v>
      </c>
      <c r="Q136" s="725">
        <f t="shared" si="110"/>
        <v>5.6915505136567977E-3</v>
      </c>
      <c r="R136" s="726">
        <f t="shared" si="111"/>
        <v>5.6915505136567977E-3</v>
      </c>
      <c r="S136" s="726" t="str">
        <f t="shared" si="112"/>
        <v>N/A</v>
      </c>
      <c r="T136" s="727"/>
      <c r="U136" s="727"/>
      <c r="V136" s="728"/>
      <c r="W136" s="728"/>
      <c r="X136" s="727"/>
      <c r="Y136" s="727"/>
      <c r="Z136" s="727"/>
      <c r="AA136" s="727"/>
      <c r="AB136" s="727"/>
      <c r="AC136" s="727"/>
      <c r="AD136" s="727"/>
      <c r="AE136" s="727"/>
      <c r="AF136" s="729">
        <f t="shared" si="113"/>
        <v>247307.22031522411</v>
      </c>
      <c r="AG136" s="729">
        <f t="shared" si="114"/>
        <v>202402.2296037403</v>
      </c>
      <c r="AH136" s="730">
        <f t="shared" si="104"/>
        <v>440009.15263140498</v>
      </c>
      <c r="AI136" s="730">
        <f t="shared" si="115"/>
        <v>58369.481581112377</v>
      </c>
      <c r="AJ136" s="730">
        <f t="shared" si="116"/>
        <v>33259.572479396789</v>
      </c>
      <c r="AK136" s="718">
        <f t="shared" si="117"/>
        <v>70237000</v>
      </c>
      <c r="AL136" s="718">
        <f t="shared" si="118"/>
        <v>0</v>
      </c>
      <c r="AM136" s="718">
        <f t="shared" si="118"/>
        <v>70237000</v>
      </c>
      <c r="AN136" s="718">
        <f t="shared" si="118"/>
        <v>0</v>
      </c>
      <c r="AO136" s="718">
        <f t="shared" si="118"/>
        <v>0</v>
      </c>
      <c r="AP136" s="718">
        <f t="shared" si="118"/>
        <v>0</v>
      </c>
      <c r="AQ136" s="718">
        <f t="shared" si="118"/>
        <v>0</v>
      </c>
      <c r="AR136" s="730">
        <f t="shared" si="105"/>
        <v>484499600.00000006</v>
      </c>
      <c r="AS136" s="730">
        <f t="shared" si="105"/>
        <v>344740100</v>
      </c>
      <c r="AT136" s="730">
        <f t="shared" si="105"/>
        <v>9317300</v>
      </c>
      <c r="AU136" s="730">
        <f t="shared" si="105"/>
        <v>6629617.307692308</v>
      </c>
      <c r="AV136" s="730">
        <f t="shared" si="105"/>
        <v>276073200</v>
      </c>
      <c r="AW136" s="730">
        <f t="shared" si="105"/>
        <v>276073200</v>
      </c>
      <c r="AX136" s="730">
        <f t="shared" si="105"/>
        <v>5309100</v>
      </c>
      <c r="AY136" s="730">
        <f t="shared" si="119"/>
        <v>91629.054060509166</v>
      </c>
      <c r="AZ136" s="730">
        <f t="shared" si="106"/>
        <v>14626400</v>
      </c>
      <c r="BA136" s="731">
        <f t="shared" si="120"/>
        <v>3</v>
      </c>
      <c r="BB136" s="731">
        <f t="shared" si="121"/>
        <v>3</v>
      </c>
      <c r="BC136" s="514"/>
    </row>
    <row r="137" spans="3:56" ht="16.5">
      <c r="C137" s="716">
        <v>16</v>
      </c>
      <c r="D137" s="717" t="s">
        <v>1786</v>
      </c>
      <c r="E137" s="717">
        <f t="shared" si="99"/>
        <v>1</v>
      </c>
      <c r="F137" s="706" t="s">
        <v>1847</v>
      </c>
      <c r="G137" s="706"/>
      <c r="H137" s="718">
        <f t="shared" si="100"/>
        <v>173.66</v>
      </c>
      <c r="I137" s="719">
        <f t="shared" si="107"/>
        <v>52.532149999999994</v>
      </c>
      <c r="J137" s="718">
        <f t="shared" si="101"/>
        <v>65.88</v>
      </c>
      <c r="K137" s="719">
        <f t="shared" si="102"/>
        <v>19.928699999999999</v>
      </c>
      <c r="L137" s="720">
        <f t="shared" si="108"/>
        <v>1.8730593003499008E-3</v>
      </c>
      <c r="M137" s="721">
        <f t="shared" si="103"/>
        <v>0.37936197166877805</v>
      </c>
      <c r="N137" s="722"/>
      <c r="O137" s="728"/>
      <c r="P137" s="724">
        <f t="shared" si="109"/>
        <v>36</v>
      </c>
      <c r="Q137" s="725">
        <f t="shared" si="110"/>
        <v>1.873059300349901E-3</v>
      </c>
      <c r="R137" s="726">
        <f t="shared" si="111"/>
        <v>1.873059300349901E-3</v>
      </c>
      <c r="S137" s="726" t="str">
        <f t="shared" si="112"/>
        <v>N/A</v>
      </c>
      <c r="T137" s="727"/>
      <c r="U137" s="727"/>
      <c r="V137" s="728"/>
      <c r="W137" s="728"/>
      <c r="X137" s="727"/>
      <c r="Y137" s="727"/>
      <c r="Z137" s="727"/>
      <c r="AA137" s="727"/>
      <c r="AB137" s="727"/>
      <c r="AC137" s="727"/>
      <c r="AD137" s="727"/>
      <c r="AE137" s="727"/>
      <c r="AF137" s="729">
        <f t="shared" si="113"/>
        <v>257195.02526507</v>
      </c>
      <c r="AG137" s="729">
        <f t="shared" si="114"/>
        <v>237323.55848600261</v>
      </c>
      <c r="AH137" s="730">
        <f t="shared" si="104"/>
        <v>499979.53634107881</v>
      </c>
      <c r="AI137" s="730">
        <f t="shared" si="115"/>
        <v>60307.830538060982</v>
      </c>
      <c r="AJ137" s="730">
        <f t="shared" si="116"/>
        <v>36012.232509044465</v>
      </c>
      <c r="AK137" s="718">
        <f t="shared" si="117"/>
        <v>26265000</v>
      </c>
      <c r="AL137" s="718">
        <f t="shared" si="118"/>
        <v>0</v>
      </c>
      <c r="AM137" s="718">
        <f t="shared" si="118"/>
        <v>26265000</v>
      </c>
      <c r="AN137" s="718">
        <f t="shared" si="118"/>
        <v>0</v>
      </c>
      <c r="AO137" s="718">
        <f t="shared" si="118"/>
        <v>0</v>
      </c>
      <c r="AP137" s="718">
        <f t="shared" si="118"/>
        <v>0</v>
      </c>
      <c r="AQ137" s="718">
        <f t="shared" si="118"/>
        <v>0</v>
      </c>
      <c r="AR137" s="730">
        <f t="shared" si="105"/>
        <v>114051600</v>
      </c>
      <c r="AS137" s="730">
        <f t="shared" si="105"/>
        <v>99795150</v>
      </c>
      <c r="AT137" s="730">
        <f t="shared" si="105"/>
        <v>3168100</v>
      </c>
      <c r="AU137" s="730">
        <f t="shared" si="105"/>
        <v>2772087.5</v>
      </c>
      <c r="AV137" s="730">
        <f t="shared" si="105"/>
        <v>68104800</v>
      </c>
      <c r="AW137" s="730">
        <f t="shared" si="105"/>
        <v>68104800</v>
      </c>
      <c r="AX137" s="730">
        <f t="shared" si="105"/>
        <v>1891800</v>
      </c>
      <c r="AY137" s="730">
        <f t="shared" si="119"/>
        <v>96320.063047105446</v>
      </c>
      <c r="AZ137" s="730">
        <f t="shared" si="106"/>
        <v>5059900</v>
      </c>
      <c r="BA137" s="731">
        <f t="shared" si="120"/>
        <v>1</v>
      </c>
      <c r="BB137" s="731">
        <f t="shared" si="121"/>
        <v>1</v>
      </c>
      <c r="BC137" s="514"/>
    </row>
    <row r="138" spans="3:56" ht="16.5">
      <c r="C138" s="716">
        <v>17</v>
      </c>
      <c r="D138" s="717" t="s">
        <v>1786</v>
      </c>
      <c r="E138" s="717">
        <f t="shared" si="99"/>
        <v>3</v>
      </c>
      <c r="F138" s="706" t="s">
        <v>1852</v>
      </c>
      <c r="G138" s="706"/>
      <c r="H138" s="718">
        <f t="shared" si="100"/>
        <v>4718.29</v>
      </c>
      <c r="I138" s="719">
        <f t="shared" si="107"/>
        <v>1427.282725</v>
      </c>
      <c r="J138" s="718">
        <f t="shared" si="101"/>
        <v>1946.1269377856631</v>
      </c>
      <c r="K138" s="719">
        <f t="shared" si="102"/>
        <v>588.7033986801631</v>
      </c>
      <c r="L138" s="720">
        <f t="shared" si="108"/>
        <v>5.0890458172566704E-2</v>
      </c>
      <c r="M138" s="721">
        <f t="shared" si="103"/>
        <v>0.41246446017215199</v>
      </c>
      <c r="N138" s="722"/>
      <c r="O138" s="728"/>
      <c r="P138" s="724">
        <f t="shared" si="109"/>
        <v>36</v>
      </c>
      <c r="Q138" s="725">
        <f t="shared" si="110"/>
        <v>5.0890458172566717E-2</v>
      </c>
      <c r="R138" s="726">
        <f t="shared" si="111"/>
        <v>5.0890458172566717E-2</v>
      </c>
      <c r="S138" s="726" t="str">
        <f t="shared" si="112"/>
        <v>N/A</v>
      </c>
      <c r="T138" s="727"/>
      <c r="U138" s="727"/>
      <c r="V138" s="728"/>
      <c r="W138" s="728"/>
      <c r="X138" s="727"/>
      <c r="Y138" s="727"/>
      <c r="Z138" s="727"/>
      <c r="AA138" s="727"/>
      <c r="AB138" s="727"/>
      <c r="AC138" s="727"/>
      <c r="AD138" s="727"/>
      <c r="AE138" s="727"/>
      <c r="AF138" s="729">
        <f t="shared" si="113"/>
        <v>228365.93147144347</v>
      </c>
      <c r="AG138" s="729">
        <f t="shared" si="114"/>
        <v>180267.91347095594</v>
      </c>
      <c r="AH138" s="730">
        <f t="shared" si="104"/>
        <v>185387.2364355844</v>
      </c>
      <c r="AI138" s="730">
        <f t="shared" si="115"/>
        <v>59516.169089764604</v>
      </c>
      <c r="AJ138" s="730">
        <f t="shared" si="116"/>
        <v>34213.193465226032</v>
      </c>
      <c r="AK138" s="718">
        <f t="shared" si="117"/>
        <v>264600000.00000021</v>
      </c>
      <c r="AL138" s="718">
        <f t="shared" si="118"/>
        <v>0</v>
      </c>
      <c r="AM138" s="718">
        <f t="shared" si="118"/>
        <v>264600000.00000021</v>
      </c>
      <c r="AN138" s="718">
        <f t="shared" si="118"/>
        <v>0</v>
      </c>
      <c r="AO138" s="718">
        <f t="shared" si="118"/>
        <v>0</v>
      </c>
      <c r="AP138" s="718">
        <f t="shared" si="118"/>
        <v>0</v>
      </c>
      <c r="AQ138" s="718">
        <f t="shared" si="118"/>
        <v>0</v>
      </c>
      <c r="AR138" s="730">
        <f t="shared" si="118"/>
        <v>3058070400</v>
      </c>
      <c r="AS138" s="730">
        <f t="shared" si="118"/>
        <v>2038713600</v>
      </c>
      <c r="AT138" s="730">
        <f t="shared" si="118"/>
        <v>84946400</v>
      </c>
      <c r="AU138" s="730">
        <f t="shared" si="118"/>
        <v>56630933.333333328</v>
      </c>
      <c r="AV138" s="730">
        <f t="shared" si="118"/>
        <v>1757948400</v>
      </c>
      <c r="AW138" s="730">
        <f t="shared" si="118"/>
        <v>1757948400</v>
      </c>
      <c r="AX138" s="730">
        <f t="shared" si="118"/>
        <v>48831900</v>
      </c>
      <c r="AY138" s="730">
        <f t="shared" si="119"/>
        <v>93729.362554990628</v>
      </c>
      <c r="AZ138" s="730">
        <f t="shared" si="106"/>
        <v>133778299.99999999</v>
      </c>
      <c r="BA138" s="731">
        <f t="shared" si="120"/>
        <v>28</v>
      </c>
      <c r="BB138" s="731">
        <f t="shared" si="121"/>
        <v>39</v>
      </c>
      <c r="BC138" s="514"/>
    </row>
    <row r="139" spans="3:56" ht="16.5">
      <c r="C139" s="716">
        <v>18</v>
      </c>
      <c r="D139" s="717" t="s">
        <v>1786</v>
      </c>
      <c r="E139" s="717">
        <f t="shared" si="99"/>
        <v>2</v>
      </c>
      <c r="F139" s="706" t="s">
        <v>1857</v>
      </c>
      <c r="G139" s="706"/>
      <c r="H139" s="718">
        <f t="shared" si="100"/>
        <v>3203.6400000000003</v>
      </c>
      <c r="I139" s="735">
        <f t="shared" si="107"/>
        <v>969.10110000000009</v>
      </c>
      <c r="J139" s="718">
        <f t="shared" si="101"/>
        <v>1212.29</v>
      </c>
      <c r="K139" s="735">
        <f t="shared" si="102"/>
        <v>366.71772499999997</v>
      </c>
      <c r="L139" s="720">
        <f t="shared" si="108"/>
        <v>3.4553769992934226E-2</v>
      </c>
      <c r="M139" s="736">
        <f t="shared" si="103"/>
        <v>0.37841018341636384</v>
      </c>
      <c r="N139" s="722"/>
      <c r="O139" s="728"/>
      <c r="P139" s="724">
        <f t="shared" si="109"/>
        <v>55.064763831142066</v>
      </c>
      <c r="Q139" s="725">
        <f t="shared" si="110"/>
        <v>3.4553769992934233E-2</v>
      </c>
      <c r="R139" s="726">
        <f t="shared" si="111"/>
        <v>3.4553769992934233E-2</v>
      </c>
      <c r="S139" s="726" t="str">
        <f t="shared" si="112"/>
        <v>N/A</v>
      </c>
      <c r="T139" s="727"/>
      <c r="U139" s="727"/>
      <c r="V139" s="728"/>
      <c r="W139" s="728"/>
      <c r="X139" s="727"/>
      <c r="Y139" s="727"/>
      <c r="Z139" s="727"/>
      <c r="AA139" s="727"/>
      <c r="AB139" s="727"/>
      <c r="AC139" s="727"/>
      <c r="AD139" s="727"/>
      <c r="AE139" s="727"/>
      <c r="AF139" s="729">
        <f t="shared" si="113"/>
        <v>239857.29759858214</v>
      </c>
      <c r="AG139" s="729">
        <f t="shared" si="114"/>
        <v>192128.85287541896</v>
      </c>
      <c r="AH139" s="730">
        <f t="shared" si="104"/>
        <v>243327.5537505839</v>
      </c>
      <c r="AI139" s="730">
        <f t="shared" si="115"/>
        <v>56185.159628856054</v>
      </c>
      <c r="AJ139" s="730">
        <f t="shared" si="116"/>
        <v>33970.965464800312</v>
      </c>
      <c r="AK139" s="718">
        <f t="shared" si="117"/>
        <v>235809000</v>
      </c>
      <c r="AL139" s="718">
        <f t="shared" si="118"/>
        <v>0</v>
      </c>
      <c r="AM139" s="718">
        <f t="shared" si="118"/>
        <v>235809000</v>
      </c>
      <c r="AN139" s="718">
        <f t="shared" si="118"/>
        <v>0</v>
      </c>
      <c r="AO139" s="718">
        <f t="shared" si="118"/>
        <v>0</v>
      </c>
      <c r="AP139" s="718">
        <f t="shared" si="118"/>
        <v>0</v>
      </c>
      <c r="AQ139" s="718">
        <f t="shared" si="118"/>
        <v>0</v>
      </c>
      <c r="AR139" s="730">
        <f t="shared" si="118"/>
        <v>2987514000</v>
      </c>
      <c r="AS139" s="730">
        <f t="shared" si="118"/>
        <v>2014962000</v>
      </c>
      <c r="AT139" s="730">
        <f t="shared" si="118"/>
        <v>54449100</v>
      </c>
      <c r="AU139" s="730">
        <f t="shared" si="118"/>
        <v>36946233.333333336</v>
      </c>
      <c r="AV139" s="730">
        <f t="shared" si="118"/>
        <v>1818404400</v>
      </c>
      <c r="AW139" s="730">
        <f t="shared" si="118"/>
        <v>1818404400</v>
      </c>
      <c r="AX139" s="730">
        <f t="shared" si="118"/>
        <v>32921300</v>
      </c>
      <c r="AY139" s="730">
        <f t="shared" si="119"/>
        <v>90156.125093656374</v>
      </c>
      <c r="AZ139" s="730">
        <f t="shared" si="106"/>
        <v>87370400</v>
      </c>
      <c r="BA139" s="731">
        <f t="shared" si="120"/>
        <v>19</v>
      </c>
      <c r="BB139" s="731">
        <f t="shared" si="121"/>
        <v>20</v>
      </c>
      <c r="BC139" s="514"/>
    </row>
    <row r="140" spans="3:56" ht="16.5">
      <c r="C140" s="716">
        <v>19</v>
      </c>
      <c r="D140" s="717" t="s">
        <v>1786</v>
      </c>
      <c r="E140" s="717">
        <f t="shared" si="99"/>
        <v>1</v>
      </c>
      <c r="F140" s="706" t="s">
        <v>1860</v>
      </c>
      <c r="G140" s="706"/>
      <c r="H140" s="718">
        <f t="shared" si="100"/>
        <v>897.9</v>
      </c>
      <c r="I140" s="735">
        <f t="shared" si="107"/>
        <v>271.61474999999996</v>
      </c>
      <c r="J140" s="718">
        <f t="shared" si="101"/>
        <v>330.26</v>
      </c>
      <c r="K140" s="735">
        <f t="shared" si="102"/>
        <v>99.903649999999999</v>
      </c>
      <c r="L140" s="720">
        <f t="shared" si="108"/>
        <v>9.6845557168269945E-3</v>
      </c>
      <c r="M140" s="736">
        <f t="shared" si="103"/>
        <v>0.36781378772691836</v>
      </c>
      <c r="N140" s="722"/>
      <c r="O140" s="728"/>
      <c r="P140" s="724">
        <f t="shared" si="109"/>
        <v>60</v>
      </c>
      <c r="Q140" s="725">
        <f t="shared" si="110"/>
        <v>9.6845557168269963E-3</v>
      </c>
      <c r="R140" s="726">
        <f t="shared" si="111"/>
        <v>9.6845557168269963E-3</v>
      </c>
      <c r="S140" s="726" t="str">
        <f t="shared" si="112"/>
        <v>N/A</v>
      </c>
      <c r="T140" s="727"/>
      <c r="U140" s="727"/>
      <c r="V140" s="728"/>
      <c r="W140" s="728"/>
      <c r="X140" s="727"/>
      <c r="Y140" s="727"/>
      <c r="Z140" s="727"/>
      <c r="AA140" s="727"/>
      <c r="AB140" s="727"/>
      <c r="AC140" s="727"/>
      <c r="AD140" s="727"/>
      <c r="AE140" s="727"/>
      <c r="AF140" s="729">
        <f t="shared" si="113"/>
        <v>248971.52156102404</v>
      </c>
      <c r="AG140" s="729">
        <f t="shared" si="114"/>
        <v>188143.84743033245</v>
      </c>
      <c r="AH140" s="730">
        <f t="shared" si="104"/>
        <v>549990.3815974649</v>
      </c>
      <c r="AI140" s="730">
        <f t="shared" si="115"/>
        <v>58365.018836421819</v>
      </c>
      <c r="AJ140" s="730">
        <f t="shared" si="116"/>
        <v>31835.163591078912</v>
      </c>
      <c r="AK140" s="718">
        <f t="shared" si="117"/>
        <v>149385500</v>
      </c>
      <c r="AL140" s="718">
        <f t="shared" si="118"/>
        <v>0</v>
      </c>
      <c r="AM140" s="718">
        <f t="shared" si="118"/>
        <v>0</v>
      </c>
      <c r="AN140" s="718">
        <f t="shared" si="118"/>
        <v>149385500</v>
      </c>
      <c r="AO140" s="718">
        <f t="shared" si="118"/>
        <v>0</v>
      </c>
      <c r="AP140" s="718">
        <f t="shared" si="118"/>
        <v>0</v>
      </c>
      <c r="AQ140" s="718">
        <f t="shared" si="118"/>
        <v>0</v>
      </c>
      <c r="AR140" s="730">
        <f t="shared" si="118"/>
        <v>951168000.00000012</v>
      </c>
      <c r="AS140" s="730">
        <f t="shared" si="118"/>
        <v>586553600</v>
      </c>
      <c r="AT140" s="730">
        <f t="shared" si="118"/>
        <v>15852800</v>
      </c>
      <c r="AU140" s="730">
        <f t="shared" si="118"/>
        <v>9775893.333333334</v>
      </c>
      <c r="AV140" s="730">
        <f t="shared" si="118"/>
        <v>518814000</v>
      </c>
      <c r="AW140" s="730">
        <f t="shared" si="118"/>
        <v>518814000</v>
      </c>
      <c r="AX140" s="730">
        <f t="shared" si="118"/>
        <v>8646900</v>
      </c>
      <c r="AY140" s="730">
        <f t="shared" si="119"/>
        <v>90200.182427500724</v>
      </c>
      <c r="AZ140" s="730">
        <f t="shared" si="106"/>
        <v>24499700</v>
      </c>
      <c r="BA140" s="731">
        <f t="shared" si="120"/>
        <v>5</v>
      </c>
      <c r="BB140" s="731">
        <f t="shared" si="121"/>
        <v>5</v>
      </c>
      <c r="BC140" s="514"/>
    </row>
    <row r="141" spans="3:56" ht="16.5">
      <c r="C141" s="716">
        <v>20</v>
      </c>
      <c r="D141" s="717" t="s">
        <v>1786</v>
      </c>
      <c r="E141" s="717">
        <f t="shared" si="99"/>
        <v>2</v>
      </c>
      <c r="F141" s="706" t="s">
        <v>1863</v>
      </c>
      <c r="G141" s="706"/>
      <c r="H141" s="718">
        <f t="shared" si="100"/>
        <v>3315.04</v>
      </c>
      <c r="I141" s="735">
        <f t="shared" si="107"/>
        <v>1002.7995999999999</v>
      </c>
      <c r="J141" s="718">
        <f t="shared" si="101"/>
        <v>1246.83</v>
      </c>
      <c r="K141" s="735">
        <f t="shared" si="102"/>
        <v>377.16607499999998</v>
      </c>
      <c r="L141" s="720">
        <f t="shared" si="108"/>
        <v>3.5755306363192074E-2</v>
      </c>
      <c r="M141" s="736">
        <f t="shared" si="103"/>
        <v>0.37611310874076931</v>
      </c>
      <c r="N141" s="722"/>
      <c r="O141" s="728"/>
      <c r="P141" s="724">
        <f t="shared" si="109"/>
        <v>60</v>
      </c>
      <c r="Q141" s="725">
        <f t="shared" si="110"/>
        <v>3.5755306363192081E-2</v>
      </c>
      <c r="R141" s="726">
        <f t="shared" si="111"/>
        <v>3.5755306363192081E-2</v>
      </c>
      <c r="S141" s="726" t="str">
        <f t="shared" si="112"/>
        <v>N/A</v>
      </c>
      <c r="T141" s="727"/>
      <c r="U141" s="727"/>
      <c r="V141" s="728"/>
      <c r="W141" s="728"/>
      <c r="X141" s="727"/>
      <c r="Y141" s="727"/>
      <c r="Z141" s="727"/>
      <c r="AA141" s="727"/>
      <c r="AB141" s="727"/>
      <c r="AC141" s="727"/>
      <c r="AD141" s="727"/>
      <c r="AE141" s="727"/>
      <c r="AF141" s="729">
        <f t="shared" si="113"/>
        <v>275880.47254780278</v>
      </c>
      <c r="AG141" s="729">
        <f t="shared" si="114"/>
        <v>215064.11554467972</v>
      </c>
      <c r="AH141" s="730">
        <f t="shared" si="104"/>
        <v>392124.20906430361</v>
      </c>
      <c r="AI141" s="730">
        <f t="shared" si="115"/>
        <v>68621.48728419916</v>
      </c>
      <c r="AJ141" s="730">
        <f t="shared" si="116"/>
        <v>34160.464363966639</v>
      </c>
      <c r="AK141" s="718">
        <f t="shared" si="117"/>
        <v>393222000</v>
      </c>
      <c r="AL141" s="718">
        <f t="shared" si="118"/>
        <v>0</v>
      </c>
      <c r="AM141" s="718">
        <f t="shared" si="118"/>
        <v>0</v>
      </c>
      <c r="AN141" s="718">
        <f t="shared" si="118"/>
        <v>393222000</v>
      </c>
      <c r="AO141" s="718">
        <f t="shared" si="118"/>
        <v>0</v>
      </c>
      <c r="AP141" s="718">
        <f t="shared" si="118"/>
        <v>0</v>
      </c>
      <c r="AQ141" s="718">
        <f t="shared" si="118"/>
        <v>0</v>
      </c>
      <c r="AR141" s="730">
        <f t="shared" si="118"/>
        <v>4128816000</v>
      </c>
      <c r="AS141" s="730">
        <f t="shared" si="118"/>
        <v>2752544000</v>
      </c>
      <c r="AT141" s="730">
        <f t="shared" si="118"/>
        <v>68813600</v>
      </c>
      <c r="AU141" s="730">
        <f t="shared" si="118"/>
        <v>45875733.333333328</v>
      </c>
      <c r="AV141" s="730">
        <f t="shared" si="118"/>
        <v>2055366000.0000002</v>
      </c>
      <c r="AW141" s="730">
        <f t="shared" si="118"/>
        <v>2055366000.0000002</v>
      </c>
      <c r="AX141" s="730">
        <f t="shared" si="118"/>
        <v>34256100</v>
      </c>
      <c r="AY141" s="730">
        <f t="shared" si="119"/>
        <v>102781.95164816581</v>
      </c>
      <c r="AZ141" s="730">
        <f t="shared" si="106"/>
        <v>103069700</v>
      </c>
      <c r="BA141" s="731">
        <f t="shared" si="120"/>
        <v>20</v>
      </c>
      <c r="BB141" s="731">
        <f t="shared" si="121"/>
        <v>20</v>
      </c>
      <c r="BC141" s="514"/>
    </row>
    <row r="142" spans="3:56" ht="16.5">
      <c r="C142" s="716">
        <v>21</v>
      </c>
      <c r="D142" s="717" t="s">
        <v>1786</v>
      </c>
      <c r="E142" s="717">
        <f t="shared" si="99"/>
        <v>1</v>
      </c>
      <c r="F142" s="706" t="s">
        <v>1867</v>
      </c>
      <c r="G142" s="706"/>
      <c r="H142" s="718">
        <f t="shared" si="100"/>
        <v>481.36</v>
      </c>
      <c r="I142" s="735">
        <f t="shared" si="107"/>
        <v>145.6114</v>
      </c>
      <c r="J142" s="718">
        <f t="shared" si="101"/>
        <v>177.42000000000007</v>
      </c>
      <c r="K142" s="735">
        <f t="shared" si="102"/>
        <v>53.669550000000022</v>
      </c>
      <c r="L142" s="720">
        <f t="shared" si="108"/>
        <v>5.1918451273547644E-3</v>
      </c>
      <c r="M142" s="736">
        <f t="shared" si="103"/>
        <v>0.36858068805052363</v>
      </c>
      <c r="N142" s="722"/>
      <c r="O142" s="728"/>
      <c r="P142" s="724">
        <f t="shared" si="109"/>
        <v>24</v>
      </c>
      <c r="Q142" s="725">
        <f t="shared" si="110"/>
        <v>5.1918451273547652E-3</v>
      </c>
      <c r="R142" s="726">
        <f t="shared" si="111"/>
        <v>5.1918451273547652E-3</v>
      </c>
      <c r="S142" s="726" t="str">
        <f t="shared" si="112"/>
        <v>N/A</v>
      </c>
      <c r="T142" s="727"/>
      <c r="U142" s="727"/>
      <c r="V142" s="728"/>
      <c r="W142" s="728"/>
      <c r="X142" s="727"/>
      <c r="Y142" s="727"/>
      <c r="Z142" s="727"/>
      <c r="AA142" s="727"/>
      <c r="AB142" s="727"/>
      <c r="AC142" s="727"/>
      <c r="AD142" s="727"/>
      <c r="AE142" s="727"/>
      <c r="AF142" s="729">
        <f t="shared" si="113"/>
        <v>257783.97620252069</v>
      </c>
      <c r="AG142" s="729">
        <f t="shared" si="114"/>
        <v>230173.65837177061</v>
      </c>
      <c r="AH142" s="730">
        <f t="shared" si="104"/>
        <v>171003.09453792765</v>
      </c>
      <c r="AI142" s="730">
        <f t="shared" si="115"/>
        <v>61059.77966010903</v>
      </c>
      <c r="AJ142" s="730">
        <f t="shared" si="116"/>
        <v>33526.907920671045</v>
      </c>
      <c r="AK142" s="718">
        <f t="shared" si="117"/>
        <v>24900000</v>
      </c>
      <c r="AL142" s="718">
        <f t="shared" si="118"/>
        <v>0</v>
      </c>
      <c r="AM142" s="718">
        <f t="shared" si="118"/>
        <v>24900000</v>
      </c>
      <c r="AN142" s="718">
        <f t="shared" si="118"/>
        <v>0</v>
      </c>
      <c r="AO142" s="718">
        <f t="shared" si="118"/>
        <v>0</v>
      </c>
      <c r="AP142" s="718">
        <f t="shared" si="118"/>
        <v>0</v>
      </c>
      <c r="AQ142" s="718">
        <f t="shared" si="118"/>
        <v>0</v>
      </c>
      <c r="AR142" s="730">
        <f t="shared" si="118"/>
        <v>213384000</v>
      </c>
      <c r="AS142" s="730">
        <f t="shared" si="118"/>
        <v>177820000</v>
      </c>
      <c r="AT142" s="730">
        <f t="shared" si="118"/>
        <v>8891000</v>
      </c>
      <c r="AU142" s="730">
        <f t="shared" si="118"/>
        <v>7409166.666666667</v>
      </c>
      <c r="AV142" s="730">
        <f t="shared" si="118"/>
        <v>117165600</v>
      </c>
      <c r="AW142" s="730">
        <f t="shared" si="118"/>
        <v>117165600</v>
      </c>
      <c r="AX142" s="730">
        <f t="shared" si="118"/>
        <v>4881900</v>
      </c>
      <c r="AY142" s="730">
        <f t="shared" si="119"/>
        <v>94586.687580780068</v>
      </c>
      <c r="AZ142" s="730">
        <f t="shared" si="106"/>
        <v>13772900</v>
      </c>
      <c r="BA142" s="731">
        <f t="shared" si="120"/>
        <v>3</v>
      </c>
      <c r="BB142" s="731">
        <f t="shared" si="121"/>
        <v>7</v>
      </c>
      <c r="BC142" s="514"/>
    </row>
    <row r="143" spans="3:56" ht="16.5">
      <c r="C143" s="716">
        <v>22</v>
      </c>
      <c r="D143" s="717" t="s">
        <v>1786</v>
      </c>
      <c r="E143" s="717">
        <f t="shared" si="99"/>
        <v>1</v>
      </c>
      <c r="F143" s="706" t="s">
        <v>1870</v>
      </c>
      <c r="G143" s="706"/>
      <c r="H143" s="718">
        <f t="shared" si="100"/>
        <v>1588.66</v>
      </c>
      <c r="I143" s="735">
        <f t="shared" si="107"/>
        <v>480.56965000000002</v>
      </c>
      <c r="J143" s="718">
        <f t="shared" si="101"/>
        <v>585.9</v>
      </c>
      <c r="K143" s="735">
        <f t="shared" si="102"/>
        <v>177.23474999999999</v>
      </c>
      <c r="L143" s="720">
        <f t="shared" si="108"/>
        <v>1.7134944075169144E-2</v>
      </c>
      <c r="M143" s="736">
        <f t="shared" si="103"/>
        <v>0.36880137977918492</v>
      </c>
      <c r="N143" s="722"/>
      <c r="O143" s="728"/>
      <c r="P143" s="724">
        <f t="shared" si="109"/>
        <v>60</v>
      </c>
      <c r="Q143" s="725">
        <f t="shared" si="110"/>
        <v>1.7134944075169148E-2</v>
      </c>
      <c r="R143" s="726">
        <f t="shared" si="111"/>
        <v>1.7134944075169148E-2</v>
      </c>
      <c r="S143" s="726" t="str">
        <f t="shared" si="112"/>
        <v>N/A</v>
      </c>
      <c r="T143" s="727"/>
      <c r="U143" s="727"/>
      <c r="V143" s="728"/>
      <c r="W143" s="728"/>
      <c r="X143" s="727"/>
      <c r="Y143" s="727"/>
      <c r="Z143" s="727"/>
      <c r="AA143" s="727"/>
      <c r="AB143" s="727"/>
      <c r="AC143" s="727"/>
      <c r="AD143" s="727"/>
      <c r="AE143" s="727"/>
      <c r="AF143" s="729">
        <f t="shared" si="113"/>
        <v>255529.53780226508</v>
      </c>
      <c r="AG143" s="729">
        <f t="shared" si="114"/>
        <v>190356.2013092805</v>
      </c>
      <c r="AH143" s="730">
        <f t="shared" si="104"/>
        <v>550000.40056628629</v>
      </c>
      <c r="AI143" s="730">
        <f t="shared" si="115"/>
        <v>60090.041058564559</v>
      </c>
      <c r="AJ143" s="730">
        <f t="shared" si="116"/>
        <v>32774.604055832489</v>
      </c>
      <c r="AK143" s="718">
        <f t="shared" si="117"/>
        <v>264313500</v>
      </c>
      <c r="AL143" s="718">
        <f t="shared" si="118"/>
        <v>0</v>
      </c>
      <c r="AM143" s="718">
        <f t="shared" si="118"/>
        <v>264313500</v>
      </c>
      <c r="AN143" s="718">
        <f t="shared" si="118"/>
        <v>0</v>
      </c>
      <c r="AO143" s="718">
        <f t="shared" si="118"/>
        <v>0</v>
      </c>
      <c r="AP143" s="718">
        <f t="shared" si="118"/>
        <v>0</v>
      </c>
      <c r="AQ143" s="718">
        <f t="shared" si="118"/>
        <v>0</v>
      </c>
      <c r="AR143" s="730">
        <f t="shared" si="118"/>
        <v>1732647000</v>
      </c>
      <c r="AS143" s="730">
        <f t="shared" si="118"/>
        <v>1039588200.0000001</v>
      </c>
      <c r="AT143" s="730">
        <f t="shared" si="118"/>
        <v>28877450</v>
      </c>
      <c r="AU143" s="730">
        <f t="shared" si="118"/>
        <v>17326470.000000004</v>
      </c>
      <c r="AV143" s="730">
        <f t="shared" si="118"/>
        <v>945028800</v>
      </c>
      <c r="AW143" s="730">
        <f t="shared" si="118"/>
        <v>945028800</v>
      </c>
      <c r="AX143" s="730">
        <f t="shared" si="118"/>
        <v>15750480</v>
      </c>
      <c r="AY143" s="730">
        <f t="shared" si="119"/>
        <v>92864.645114397048</v>
      </c>
      <c r="AZ143" s="730">
        <f t="shared" si="106"/>
        <v>44627930</v>
      </c>
      <c r="BA143" s="731">
        <f t="shared" si="120"/>
        <v>10</v>
      </c>
      <c r="BB143" s="731">
        <f t="shared" si="121"/>
        <v>9</v>
      </c>
      <c r="BC143" s="514"/>
    </row>
    <row r="144" spans="3:56" ht="16.5">
      <c r="C144" s="716">
        <v>23</v>
      </c>
      <c r="D144" s="717" t="s">
        <v>1786</v>
      </c>
      <c r="E144" s="717">
        <f t="shared" si="99"/>
        <v>1</v>
      </c>
      <c r="F144" s="706" t="s">
        <v>1894</v>
      </c>
      <c r="G144" s="706"/>
      <c r="H144" s="718">
        <f t="shared" si="100"/>
        <v>737.75</v>
      </c>
      <c r="I144" s="735">
        <f t="shared" si="107"/>
        <v>223.169375</v>
      </c>
      <c r="J144" s="735">
        <f t="shared" si="101"/>
        <v>275.19</v>
      </c>
      <c r="K144" s="735">
        <f t="shared" si="102"/>
        <v>83.244974999999997</v>
      </c>
      <c r="L144" s="720">
        <f t="shared" si="108"/>
        <v>7.9572123622776662E-3</v>
      </c>
      <c r="M144" s="736">
        <f t="shared" si="103"/>
        <v>0.37301253812267027</v>
      </c>
      <c r="N144" s="722"/>
      <c r="O144" s="728"/>
      <c r="P144" s="724">
        <f t="shared" si="109"/>
        <v>60</v>
      </c>
      <c r="Q144" s="725">
        <f t="shared" si="110"/>
        <v>7.9572123622776679E-3</v>
      </c>
      <c r="R144" s="726">
        <f t="shared" si="111"/>
        <v>7.9572123622776679E-3</v>
      </c>
      <c r="S144" s="726" t="str">
        <f t="shared" si="112"/>
        <v>N/A</v>
      </c>
      <c r="T144" s="727"/>
      <c r="U144" s="727"/>
      <c r="V144" s="728"/>
      <c r="W144" s="728"/>
      <c r="X144" s="727"/>
      <c r="Y144" s="727"/>
      <c r="Z144" s="727"/>
      <c r="AA144" s="727"/>
      <c r="AB144" s="727"/>
      <c r="AC144" s="727"/>
      <c r="AD144" s="727"/>
      <c r="AE144" s="727"/>
      <c r="AF144" s="729">
        <f t="shared" si="113"/>
        <v>283860.97779475577</v>
      </c>
      <c r="AG144" s="729">
        <f t="shared" si="114"/>
        <v>268937.35427673964</v>
      </c>
      <c r="AH144" s="730">
        <f t="shared" si="104"/>
        <v>327105.81368971436</v>
      </c>
      <c r="AI144" s="730">
        <f t="shared" si="115"/>
        <v>66800.38423730855</v>
      </c>
      <c r="AJ144" s="730">
        <f t="shared" si="116"/>
        <v>38265.555029671967</v>
      </c>
      <c r="AK144" s="718">
        <f t="shared" si="117"/>
        <v>73000000</v>
      </c>
      <c r="AL144" s="718">
        <f t="shared" si="118"/>
        <v>0</v>
      </c>
      <c r="AM144" s="718">
        <f t="shared" si="118"/>
        <v>73000000</v>
      </c>
      <c r="AN144" s="718">
        <f t="shared" si="118"/>
        <v>0</v>
      </c>
      <c r="AO144" s="718">
        <f t="shared" si="118"/>
        <v>0</v>
      </c>
      <c r="AP144" s="718">
        <f t="shared" si="118"/>
        <v>0</v>
      </c>
      <c r="AQ144" s="718">
        <f t="shared" si="118"/>
        <v>0</v>
      </c>
      <c r="AR144" s="730">
        <f t="shared" si="118"/>
        <v>894468000.00000012</v>
      </c>
      <c r="AS144" s="730">
        <f t="shared" si="118"/>
        <v>819929000</v>
      </c>
      <c r="AT144" s="730">
        <f t="shared" si="118"/>
        <v>14907800</v>
      </c>
      <c r="AU144" s="730">
        <f t="shared" si="118"/>
        <v>13665483.333333334</v>
      </c>
      <c r="AV144" s="730">
        <f t="shared" si="118"/>
        <v>512381999.99999994</v>
      </c>
      <c r="AW144" s="730">
        <f t="shared" si="118"/>
        <v>512381999.99999994</v>
      </c>
      <c r="AX144" s="730">
        <f t="shared" si="118"/>
        <v>8539700</v>
      </c>
      <c r="AY144" s="730">
        <f t="shared" si="119"/>
        <v>105065.93926698051</v>
      </c>
      <c r="AZ144" s="730">
        <f t="shared" si="106"/>
        <v>23447500</v>
      </c>
      <c r="BA144" s="731">
        <f t="shared" si="120"/>
        <v>4</v>
      </c>
      <c r="BB144" s="731">
        <f t="shared" si="121"/>
        <v>4</v>
      </c>
      <c r="BC144" s="514"/>
    </row>
    <row r="145" spans="3:55" ht="16.5">
      <c r="C145" s="716">
        <v>24</v>
      </c>
      <c r="D145" s="717" t="s">
        <v>1786</v>
      </c>
      <c r="E145" s="717">
        <f t="shared" si="99"/>
        <v>1</v>
      </c>
      <c r="F145" s="2589" t="s">
        <v>1890</v>
      </c>
      <c r="G145" s="2589"/>
      <c r="H145" s="718">
        <f t="shared" si="100"/>
        <v>72.16</v>
      </c>
      <c r="I145" s="735">
        <f t="shared" si="107"/>
        <v>21.828399999999998</v>
      </c>
      <c r="J145" s="735">
        <f t="shared" si="101"/>
        <v>27.91</v>
      </c>
      <c r="K145" s="735">
        <f t="shared" si="102"/>
        <v>8.4427749999999993</v>
      </c>
      <c r="L145" s="720">
        <f t="shared" si="108"/>
        <v>7.7830219459431563E-4</v>
      </c>
      <c r="M145" s="736">
        <f t="shared" si="103"/>
        <v>0.38677937915742794</v>
      </c>
      <c r="N145" s="722"/>
      <c r="O145" s="728"/>
      <c r="P145" s="724">
        <f t="shared" si="109"/>
        <v>12</v>
      </c>
      <c r="Q145" s="725">
        <f t="shared" si="110"/>
        <v>7.7830219459431573E-4</v>
      </c>
      <c r="R145" s="726">
        <f t="shared" si="111"/>
        <v>7.7830219459431573E-4</v>
      </c>
      <c r="S145" s="726" t="str">
        <f t="shared" si="112"/>
        <v>N/A</v>
      </c>
      <c r="T145" s="727"/>
      <c r="U145" s="727"/>
      <c r="V145" s="728"/>
      <c r="W145" s="728"/>
      <c r="X145" s="727"/>
      <c r="Y145" s="727"/>
      <c r="Z145" s="727"/>
      <c r="AA145" s="727"/>
      <c r="AB145" s="727"/>
      <c r="AC145" s="727"/>
      <c r="AD145" s="727"/>
      <c r="AE145" s="727"/>
      <c r="AF145" s="729">
        <f t="shared" si="113"/>
        <v>265672.86822164519</v>
      </c>
      <c r="AG145" s="729">
        <f t="shared" si="114"/>
        <v>251607.5875526708</v>
      </c>
      <c r="AH145" s="730">
        <f t="shared" si="104"/>
        <v>550040.3144527314</v>
      </c>
      <c r="AI145" s="730">
        <f t="shared" si="115"/>
        <v>65281.926297850514</v>
      </c>
      <c r="AJ145" s="730">
        <f t="shared" si="116"/>
        <v>36099.759945758742</v>
      </c>
      <c r="AK145" s="718">
        <f t="shared" si="117"/>
        <v>12006500</v>
      </c>
      <c r="AL145" s="718">
        <f t="shared" si="118"/>
        <v>0</v>
      </c>
      <c r="AM145" s="718">
        <f t="shared" si="118"/>
        <v>0</v>
      </c>
      <c r="AN145" s="718">
        <f t="shared" si="118"/>
        <v>12006500</v>
      </c>
      <c r="AO145" s="718">
        <f t="shared" si="118"/>
        <v>0</v>
      </c>
      <c r="AP145" s="718">
        <f t="shared" si="118"/>
        <v>0</v>
      </c>
      <c r="AQ145" s="718">
        <f t="shared" si="118"/>
        <v>0</v>
      </c>
      <c r="AR145" s="730">
        <f t="shared" si="118"/>
        <v>17100000</v>
      </c>
      <c r="AS145" s="730">
        <f t="shared" si="118"/>
        <v>15675000</v>
      </c>
      <c r="AT145" s="730">
        <f t="shared" si="118"/>
        <v>1425000</v>
      </c>
      <c r="AU145" s="730">
        <f t="shared" si="118"/>
        <v>1306250</v>
      </c>
      <c r="AV145" s="730">
        <f t="shared" si="118"/>
        <v>9456000</v>
      </c>
      <c r="AW145" s="730">
        <f t="shared" si="118"/>
        <v>9456000</v>
      </c>
      <c r="AX145" s="730">
        <f t="shared" si="118"/>
        <v>788000</v>
      </c>
      <c r="AY145" s="730">
        <f t="shared" si="119"/>
        <v>101381.68624360925</v>
      </c>
      <c r="AZ145" s="730">
        <f t="shared" si="106"/>
        <v>2213000</v>
      </c>
      <c r="BA145" s="731">
        <f t="shared" si="120"/>
        <v>0</v>
      </c>
      <c r="BB145" s="731">
        <f t="shared" si="121"/>
        <v>0</v>
      </c>
      <c r="BC145" s="514"/>
    </row>
    <row r="146" spans="3:55" ht="16.5">
      <c r="C146" s="716">
        <v>25</v>
      </c>
      <c r="D146" s="717" t="s">
        <v>1786</v>
      </c>
      <c r="E146" s="717">
        <f t="shared" si="99"/>
        <v>1</v>
      </c>
      <c r="F146" s="2589" t="s">
        <v>1892</v>
      </c>
      <c r="G146" s="2589"/>
      <c r="H146" s="718">
        <f t="shared" si="100"/>
        <v>112.5</v>
      </c>
      <c r="I146" s="735">
        <f t="shared" si="107"/>
        <v>34.03125</v>
      </c>
      <c r="J146" s="735">
        <f t="shared" si="101"/>
        <v>40.96</v>
      </c>
      <c r="K146" s="735">
        <f t="shared" si="102"/>
        <v>12.3904</v>
      </c>
      <c r="L146" s="720">
        <f t="shared" si="108"/>
        <v>1.2134007329803285E-3</v>
      </c>
      <c r="M146" s="736">
        <f t="shared" si="103"/>
        <v>0.36408888888888891</v>
      </c>
      <c r="N146" s="722"/>
      <c r="O146" s="728"/>
      <c r="P146" s="724">
        <f t="shared" si="109"/>
        <v>1</v>
      </c>
      <c r="Q146" s="725">
        <f t="shared" si="110"/>
        <v>1.2134007329803289E-3</v>
      </c>
      <c r="R146" s="726">
        <f t="shared" si="111"/>
        <v>1.2134007329803289E-3</v>
      </c>
      <c r="S146" s="726" t="str">
        <f t="shared" si="112"/>
        <v>N/A</v>
      </c>
      <c r="T146" s="727"/>
      <c r="U146" s="727"/>
      <c r="V146" s="728"/>
      <c r="W146" s="728"/>
      <c r="X146" s="727"/>
      <c r="Y146" s="727"/>
      <c r="Z146" s="727"/>
      <c r="AA146" s="727"/>
      <c r="AB146" s="727"/>
      <c r="AC146" s="727"/>
      <c r="AD146" s="727"/>
      <c r="AE146" s="727"/>
      <c r="AF146" s="729">
        <f t="shared" si="113"/>
        <v>0</v>
      </c>
      <c r="AG146" s="729">
        <f t="shared" si="114"/>
        <v>0</v>
      </c>
      <c r="AH146" s="730">
        <f t="shared" si="104"/>
        <v>0</v>
      </c>
      <c r="AI146" s="730">
        <f t="shared" si="115"/>
        <v>0</v>
      </c>
      <c r="AJ146" s="730">
        <f t="shared" si="116"/>
        <v>0</v>
      </c>
      <c r="AK146" s="718">
        <f t="shared" si="117"/>
        <v>0</v>
      </c>
      <c r="AL146" s="718">
        <f t="shared" si="118"/>
        <v>0</v>
      </c>
      <c r="AM146" s="718">
        <f t="shared" si="118"/>
        <v>0</v>
      </c>
      <c r="AN146" s="718">
        <f t="shared" si="118"/>
        <v>0</v>
      </c>
      <c r="AO146" s="718">
        <f t="shared" si="118"/>
        <v>0</v>
      </c>
      <c r="AP146" s="718">
        <f t="shared" si="118"/>
        <v>0</v>
      </c>
      <c r="AQ146" s="718">
        <f t="shared" si="118"/>
        <v>0</v>
      </c>
      <c r="AR146" s="730">
        <f t="shared" si="118"/>
        <v>0</v>
      </c>
      <c r="AS146" s="730">
        <f t="shared" si="118"/>
        <v>0</v>
      </c>
      <c r="AT146" s="730">
        <f t="shared" si="118"/>
        <v>0</v>
      </c>
      <c r="AU146" s="730">
        <f t="shared" si="118"/>
        <v>0</v>
      </c>
      <c r="AV146" s="730">
        <f t="shared" si="118"/>
        <v>0</v>
      </c>
      <c r="AW146" s="730">
        <f t="shared" si="118"/>
        <v>0</v>
      </c>
      <c r="AX146" s="730">
        <f t="shared" si="118"/>
        <v>0</v>
      </c>
      <c r="AY146" s="730">
        <f t="shared" si="119"/>
        <v>0</v>
      </c>
      <c r="AZ146" s="730">
        <f t="shared" si="106"/>
        <v>0</v>
      </c>
      <c r="BA146" s="731">
        <f t="shared" si="120"/>
        <v>1</v>
      </c>
      <c r="BB146" s="731">
        <f t="shared" si="121"/>
        <v>0</v>
      </c>
      <c r="BC146" s="514"/>
    </row>
    <row r="147" spans="3:55" ht="16.5">
      <c r="C147" s="716">
        <v>26</v>
      </c>
      <c r="D147" s="717" t="s">
        <v>1786</v>
      </c>
      <c r="E147" s="717">
        <f t="shared" si="99"/>
        <v>1</v>
      </c>
      <c r="F147" s="706" t="s">
        <v>1897</v>
      </c>
      <c r="G147" s="706"/>
      <c r="H147" s="718">
        <f t="shared" si="100"/>
        <v>213.16</v>
      </c>
      <c r="I147" s="735">
        <f t="shared" si="107"/>
        <v>64.480899999999991</v>
      </c>
      <c r="J147" s="735">
        <f t="shared" si="101"/>
        <v>79.5</v>
      </c>
      <c r="K147" s="735">
        <f t="shared" si="102"/>
        <v>24.048749999999998</v>
      </c>
      <c r="L147" s="720">
        <f t="shared" si="108"/>
        <v>2.2990977799296607E-3</v>
      </c>
      <c r="M147" s="736">
        <f t="shared" si="103"/>
        <v>0.37295927941452428</v>
      </c>
      <c r="N147" s="722"/>
      <c r="O147" s="728"/>
      <c r="P147" s="724">
        <f t="shared" si="109"/>
        <v>12</v>
      </c>
      <c r="Q147" s="725">
        <f t="shared" si="110"/>
        <v>2.2990977799296607E-3</v>
      </c>
      <c r="R147" s="726">
        <f t="shared" si="111"/>
        <v>2.2990977799296607E-3</v>
      </c>
      <c r="S147" s="726" t="str">
        <f t="shared" si="112"/>
        <v>N/A</v>
      </c>
      <c r="T147" s="727"/>
      <c r="U147" s="727"/>
      <c r="V147" s="728"/>
      <c r="W147" s="728"/>
      <c r="X147" s="727"/>
      <c r="Y147" s="727"/>
      <c r="Z147" s="727"/>
      <c r="AA147" s="727"/>
      <c r="AB147" s="727"/>
      <c r="AC147" s="727"/>
      <c r="AD147" s="727"/>
      <c r="AE147" s="727"/>
      <c r="AF147" s="729">
        <f t="shared" si="113"/>
        <v>271378.45002339</v>
      </c>
      <c r="AG147" s="729">
        <f t="shared" si="114"/>
        <v>242609.10996760053</v>
      </c>
      <c r="AH147" s="730">
        <f t="shared" si="104"/>
        <v>509995.98330668471</v>
      </c>
      <c r="AI147" s="730">
        <f t="shared" si="115"/>
        <v>64378.75401863188</v>
      </c>
      <c r="AJ147" s="730">
        <f t="shared" si="116"/>
        <v>35559.367192455444</v>
      </c>
      <c r="AK147" s="718">
        <f t="shared" si="117"/>
        <v>32885000</v>
      </c>
      <c r="AL147" s="718">
        <f t="shared" si="118"/>
        <v>0</v>
      </c>
      <c r="AM147" s="718">
        <f t="shared" si="118"/>
        <v>32885000</v>
      </c>
      <c r="AN147" s="718">
        <f t="shared" si="118"/>
        <v>0</v>
      </c>
      <c r="AO147" s="718">
        <f t="shared" si="118"/>
        <v>0</v>
      </c>
      <c r="AP147" s="718">
        <f t="shared" si="118"/>
        <v>0</v>
      </c>
      <c r="AQ147" s="718">
        <f t="shared" si="118"/>
        <v>0</v>
      </c>
      <c r="AR147" s="730">
        <f t="shared" si="118"/>
        <v>49814400</v>
      </c>
      <c r="AS147" s="730">
        <f t="shared" si="118"/>
        <v>41512000</v>
      </c>
      <c r="AT147" s="730">
        <f t="shared" si="118"/>
        <v>4151200</v>
      </c>
      <c r="AU147" s="730">
        <f t="shared" si="118"/>
        <v>3459333.3333333335</v>
      </c>
      <c r="AV147" s="730">
        <f t="shared" si="118"/>
        <v>27514800</v>
      </c>
      <c r="AW147" s="730">
        <f t="shared" si="118"/>
        <v>27514800</v>
      </c>
      <c r="AX147" s="730">
        <f t="shared" si="118"/>
        <v>2292900</v>
      </c>
      <c r="AY147" s="730">
        <f t="shared" si="119"/>
        <v>99938.121211087331</v>
      </c>
      <c r="AZ147" s="730">
        <f t="shared" si="106"/>
        <v>6444100</v>
      </c>
      <c r="BA147" s="731">
        <f t="shared" si="120"/>
        <v>1</v>
      </c>
      <c r="BB147" s="731">
        <f t="shared" si="121"/>
        <v>1</v>
      </c>
      <c r="BC147" s="514"/>
    </row>
    <row r="148" spans="3:55" ht="16.5">
      <c r="C148" s="716">
        <v>27</v>
      </c>
      <c r="D148" s="717" t="s">
        <v>1786</v>
      </c>
      <c r="E148" s="717">
        <f t="shared" si="99"/>
        <v>1</v>
      </c>
      <c r="F148" s="706" t="s">
        <v>1900</v>
      </c>
      <c r="G148" s="706"/>
      <c r="H148" s="718">
        <f t="shared" si="100"/>
        <v>172.16</v>
      </c>
      <c r="I148" s="735">
        <f t="shared" si="107"/>
        <v>52.078399999999995</v>
      </c>
      <c r="J148" s="735">
        <f t="shared" si="101"/>
        <v>64.19</v>
      </c>
      <c r="K148" s="735">
        <f t="shared" si="102"/>
        <v>19.417475</v>
      </c>
      <c r="L148" s="720">
        <f t="shared" si="108"/>
        <v>1.8568806239101631E-3</v>
      </c>
      <c r="M148" s="736">
        <f t="shared" si="103"/>
        <v>0.37285083643122674</v>
      </c>
      <c r="N148" s="722"/>
      <c r="O148" s="728"/>
      <c r="P148" s="724">
        <f t="shared" si="109"/>
        <v>24</v>
      </c>
      <c r="Q148" s="725">
        <f t="shared" si="110"/>
        <v>1.8568806239101633E-3</v>
      </c>
      <c r="R148" s="726">
        <f t="shared" si="111"/>
        <v>1.8568806239101633E-3</v>
      </c>
      <c r="S148" s="726" t="str">
        <f t="shared" si="112"/>
        <v>N/A</v>
      </c>
      <c r="T148" s="727"/>
      <c r="U148" s="727"/>
      <c r="V148" s="728"/>
      <c r="W148" s="728"/>
      <c r="X148" s="727"/>
      <c r="Y148" s="727"/>
      <c r="Z148" s="727"/>
      <c r="AA148" s="727"/>
      <c r="AB148" s="727"/>
      <c r="AC148" s="727"/>
      <c r="AD148" s="727"/>
      <c r="AE148" s="727"/>
      <c r="AF148" s="729">
        <f t="shared" si="113"/>
        <v>262253.26670949749</v>
      </c>
      <c r="AG148" s="729">
        <f t="shared" si="114"/>
        <v>248553.40786241944</v>
      </c>
      <c r="AH148" s="730">
        <f t="shared" si="104"/>
        <v>549911.28759716125</v>
      </c>
      <c r="AI148" s="730">
        <f t="shared" si="115"/>
        <v>61296.045961473479</v>
      </c>
      <c r="AJ148" s="730">
        <f t="shared" si="116"/>
        <v>35110.525668991373</v>
      </c>
      <c r="AK148" s="718">
        <f t="shared" si="117"/>
        <v>28638500</v>
      </c>
      <c r="AL148" s="718">
        <f t="shared" si="118"/>
        <v>0</v>
      </c>
      <c r="AM148" s="718">
        <f t="shared" si="118"/>
        <v>28638500</v>
      </c>
      <c r="AN148" s="718">
        <f t="shared" si="118"/>
        <v>0</v>
      </c>
      <c r="AO148" s="718">
        <f t="shared" si="118"/>
        <v>0</v>
      </c>
      <c r="AP148" s="718">
        <f t="shared" si="118"/>
        <v>0</v>
      </c>
      <c r="AQ148" s="718">
        <f t="shared" si="118"/>
        <v>0</v>
      </c>
      <c r="AR148" s="730">
        <f t="shared" si="118"/>
        <v>76612800</v>
      </c>
      <c r="AS148" s="730">
        <f t="shared" si="118"/>
        <v>70228400</v>
      </c>
      <c r="AT148" s="730">
        <f t="shared" si="118"/>
        <v>3192200</v>
      </c>
      <c r="AU148" s="730">
        <f t="shared" si="118"/>
        <v>2926183.3333333335</v>
      </c>
      <c r="AV148" s="730">
        <f t="shared" si="118"/>
        <v>43884000.000000007</v>
      </c>
      <c r="AW148" s="730">
        <f t="shared" si="118"/>
        <v>43884000.000000007</v>
      </c>
      <c r="AX148" s="730">
        <f t="shared" si="118"/>
        <v>1828500</v>
      </c>
      <c r="AY148" s="730">
        <f t="shared" si="119"/>
        <v>96406.571630464852</v>
      </c>
      <c r="AZ148" s="730">
        <f t="shared" si="106"/>
        <v>5020700</v>
      </c>
      <c r="BA148" s="731">
        <f t="shared" si="120"/>
        <v>1</v>
      </c>
      <c r="BB148" s="731">
        <f t="shared" si="121"/>
        <v>1</v>
      </c>
      <c r="BC148" s="514"/>
    </row>
    <row r="149" spans="3:55" ht="16.5">
      <c r="C149" s="716">
        <v>28</v>
      </c>
      <c r="D149" s="717" t="s">
        <v>1786</v>
      </c>
      <c r="E149" s="717">
        <f t="shared" si="99"/>
        <v>1</v>
      </c>
      <c r="F149" s="706" t="s">
        <v>1902</v>
      </c>
      <c r="G149" s="706"/>
      <c r="H149" s="718">
        <f t="shared" si="100"/>
        <v>288.77</v>
      </c>
      <c r="I149" s="735">
        <f t="shared" si="107"/>
        <v>87.352924999999985</v>
      </c>
      <c r="J149" s="735">
        <f t="shared" si="101"/>
        <v>109.67484599999999</v>
      </c>
      <c r="K149" s="735">
        <f t="shared" si="102"/>
        <v>33.176640914999993</v>
      </c>
      <c r="L149" s="720">
        <f t="shared" si="108"/>
        <v>3.1146109303353728E-3</v>
      </c>
      <c r="M149" s="736">
        <f t="shared" si="103"/>
        <v>0.37979999999999997</v>
      </c>
      <c r="N149" s="722"/>
      <c r="O149" s="728"/>
      <c r="P149" s="724">
        <f t="shared" si="109"/>
        <v>36</v>
      </c>
      <c r="Q149" s="725">
        <f t="shared" si="110"/>
        <v>3.1146109303353733E-3</v>
      </c>
      <c r="R149" s="726">
        <f t="shared" si="111"/>
        <v>3.1146109303353733E-3</v>
      </c>
      <c r="S149" s="726" t="str">
        <f t="shared" si="112"/>
        <v>N/A</v>
      </c>
      <c r="T149" s="727"/>
      <c r="U149" s="727"/>
      <c r="V149" s="728"/>
      <c r="W149" s="728"/>
      <c r="X149" s="727"/>
      <c r="Y149" s="727"/>
      <c r="Z149" s="727"/>
      <c r="AA149" s="727"/>
      <c r="AB149" s="727"/>
      <c r="AC149" s="727"/>
      <c r="AD149" s="727"/>
      <c r="AE149" s="727"/>
      <c r="AF149" s="729">
        <f t="shared" si="113"/>
        <v>247119.65328271696</v>
      </c>
      <c r="AG149" s="729">
        <f t="shared" si="114"/>
        <v>238414.73343444426</v>
      </c>
      <c r="AH149" s="730">
        <f t="shared" si="104"/>
        <v>560942.86482106929</v>
      </c>
      <c r="AI149" s="730">
        <f t="shared" si="115"/>
        <v>59510.314050731569</v>
      </c>
      <c r="AJ149" s="730">
        <f t="shared" si="116"/>
        <v>32943.37310399166</v>
      </c>
      <c r="AK149" s="718">
        <f t="shared" si="117"/>
        <v>49000000</v>
      </c>
      <c r="AL149" s="718">
        <f t="shared" si="118"/>
        <v>0</v>
      </c>
      <c r="AM149" s="718">
        <f t="shared" si="118"/>
        <v>0</v>
      </c>
      <c r="AN149" s="718">
        <f t="shared" si="118"/>
        <v>49000000</v>
      </c>
      <c r="AO149" s="718">
        <f t="shared" si="118"/>
        <v>0</v>
      </c>
      <c r="AP149" s="718">
        <f t="shared" si="118"/>
        <v>0</v>
      </c>
      <c r="AQ149" s="718">
        <f t="shared" si="118"/>
        <v>0</v>
      </c>
      <c r="AR149" s="730">
        <f t="shared" si="118"/>
        <v>187142400</v>
      </c>
      <c r="AS149" s="730">
        <f t="shared" si="118"/>
        <v>176745600</v>
      </c>
      <c r="AT149" s="730">
        <f t="shared" si="118"/>
        <v>5198400</v>
      </c>
      <c r="AU149" s="730">
        <f t="shared" si="118"/>
        <v>4909600</v>
      </c>
      <c r="AV149" s="730">
        <f t="shared" si="118"/>
        <v>103597200.00000001</v>
      </c>
      <c r="AW149" s="730">
        <f t="shared" si="118"/>
        <v>103597200.00000001</v>
      </c>
      <c r="AX149" s="730">
        <f t="shared" si="118"/>
        <v>2877700</v>
      </c>
      <c r="AY149" s="730">
        <f t="shared" si="119"/>
        <v>92453.687154723229</v>
      </c>
      <c r="AZ149" s="730">
        <f t="shared" si="106"/>
        <v>8076100</v>
      </c>
      <c r="BA149" s="731">
        <f t="shared" si="120"/>
        <v>2</v>
      </c>
      <c r="BB149" s="731">
        <f t="shared" si="121"/>
        <v>2</v>
      </c>
      <c r="BC149" s="514"/>
    </row>
    <row r="150" spans="3:55" ht="16.5">
      <c r="C150" s="716">
        <v>29</v>
      </c>
      <c r="D150" s="717" t="s">
        <v>1786</v>
      </c>
      <c r="E150" s="717">
        <f t="shared" si="99"/>
        <v>3</v>
      </c>
      <c r="F150" s="706" t="s">
        <v>1912</v>
      </c>
      <c r="G150" s="706"/>
      <c r="H150" s="718">
        <f t="shared" si="100"/>
        <v>4055.21</v>
      </c>
      <c r="I150" s="735">
        <f t="shared" si="107"/>
        <v>1226.7010250000001</v>
      </c>
      <c r="J150" s="735">
        <f t="shared" si="101"/>
        <v>1492.1278280000001</v>
      </c>
      <c r="K150" s="735">
        <f t="shared" si="102"/>
        <v>451.36866797000005</v>
      </c>
      <c r="L150" s="720">
        <f t="shared" si="108"/>
        <v>4.3738620323459182E-2</v>
      </c>
      <c r="M150" s="736">
        <f t="shared" si="103"/>
        <v>0.36795328182757492</v>
      </c>
      <c r="N150" s="722"/>
      <c r="O150" s="728"/>
      <c r="P150" s="724">
        <f t="shared" si="109"/>
        <v>60.000000000000007</v>
      </c>
      <c r="Q150" s="725">
        <f t="shared" si="110"/>
        <v>4.3738620323459196E-2</v>
      </c>
      <c r="R150" s="726">
        <f t="shared" si="111"/>
        <v>4.3738620323459196E-2</v>
      </c>
      <c r="S150" s="726" t="str">
        <f t="shared" si="112"/>
        <v>N/A</v>
      </c>
      <c r="T150" s="727"/>
      <c r="U150" s="727"/>
      <c r="V150" s="728"/>
      <c r="W150" s="728"/>
      <c r="X150" s="727"/>
      <c r="Y150" s="727"/>
      <c r="Z150" s="727"/>
      <c r="AA150" s="727"/>
      <c r="AB150" s="727"/>
      <c r="AC150" s="727"/>
      <c r="AD150" s="727"/>
      <c r="AE150" s="727"/>
      <c r="AF150" s="729">
        <f t="shared" si="113"/>
        <v>248243.30519868358</v>
      </c>
      <c r="AG150" s="729">
        <f t="shared" si="114"/>
        <v>223066.80505647921</v>
      </c>
      <c r="AH150" s="730">
        <f t="shared" si="104"/>
        <v>460046.89692013583</v>
      </c>
      <c r="AI150" s="730">
        <f t="shared" si="115"/>
        <v>55582.655113539171</v>
      </c>
      <c r="AJ150" s="730">
        <f t="shared" si="116"/>
        <v>34609.166483740402</v>
      </c>
      <c r="AK150" s="718">
        <f t="shared" si="117"/>
        <v>564340000</v>
      </c>
      <c r="AL150" s="718">
        <f t="shared" si="118"/>
        <v>0</v>
      </c>
      <c r="AM150" s="718">
        <f t="shared" si="118"/>
        <v>564340000</v>
      </c>
      <c r="AN150" s="718">
        <f t="shared" si="118"/>
        <v>0</v>
      </c>
      <c r="AO150" s="718">
        <f t="shared" si="118"/>
        <v>0</v>
      </c>
      <c r="AP150" s="718">
        <f t="shared" si="118"/>
        <v>0</v>
      </c>
      <c r="AQ150" s="718">
        <f t="shared" si="118"/>
        <v>0</v>
      </c>
      <c r="AR150" s="730">
        <f t="shared" si="118"/>
        <v>4090998000</v>
      </c>
      <c r="AS150" s="730">
        <f t="shared" si="118"/>
        <v>3409165000</v>
      </c>
      <c r="AT150" s="730">
        <f t="shared" si="118"/>
        <v>68183300</v>
      </c>
      <c r="AU150" s="730">
        <f t="shared" ref="AR150:AZ160" si="122">SUMIF($G$13:$G$104,$F150,AU$13:AU$104)</f>
        <v>56819416.666666672</v>
      </c>
      <c r="AV150" s="730">
        <f t="shared" si="122"/>
        <v>2547306000</v>
      </c>
      <c r="AW150" s="730">
        <f t="shared" si="122"/>
        <v>2547306000</v>
      </c>
      <c r="AX150" s="730">
        <f t="shared" si="122"/>
        <v>42455100</v>
      </c>
      <c r="AY150" s="730">
        <f t="shared" si="119"/>
        <v>90191.821597279573</v>
      </c>
      <c r="AZ150" s="730">
        <f t="shared" si="122"/>
        <v>110638400</v>
      </c>
      <c r="BA150" s="731">
        <f t="shared" si="120"/>
        <v>25</v>
      </c>
      <c r="BB150" s="731">
        <f t="shared" si="121"/>
        <v>22</v>
      </c>
      <c r="BC150" s="514"/>
    </row>
    <row r="151" spans="3:55" ht="16.5">
      <c r="C151" s="716">
        <v>30</v>
      </c>
      <c r="D151" s="717" t="s">
        <v>1786</v>
      </c>
      <c r="E151" s="717">
        <f t="shared" si="99"/>
        <v>1</v>
      </c>
      <c r="F151" s="706" t="s">
        <v>1923</v>
      </c>
      <c r="G151" s="706"/>
      <c r="H151" s="718">
        <f t="shared" si="100"/>
        <v>2175.34</v>
      </c>
      <c r="I151" s="735">
        <f t="shared" si="107"/>
        <v>658.04034999999999</v>
      </c>
      <c r="J151" s="735">
        <f t="shared" si="101"/>
        <v>802.31</v>
      </c>
      <c r="K151" s="735">
        <f t="shared" si="102"/>
        <v>242.69877499999998</v>
      </c>
      <c r="L151" s="720">
        <f t="shared" si="108"/>
        <v>2.346274800427936E-2</v>
      </c>
      <c r="M151" s="736">
        <f t="shared" si="103"/>
        <v>0.36882050621971735</v>
      </c>
      <c r="N151" s="722"/>
      <c r="O151" s="728"/>
      <c r="P151" s="724">
        <f t="shared" si="109"/>
        <v>12</v>
      </c>
      <c r="Q151" s="725">
        <f t="shared" si="110"/>
        <v>2.3462748004279364E-2</v>
      </c>
      <c r="R151" s="726">
        <f t="shared" si="111"/>
        <v>2.3462748004279364E-2</v>
      </c>
      <c r="S151" s="726" t="str">
        <f t="shared" si="112"/>
        <v>N/A</v>
      </c>
      <c r="T151" s="727"/>
      <c r="U151" s="727"/>
      <c r="V151" s="728"/>
      <c r="W151" s="728"/>
      <c r="X151" s="727"/>
      <c r="Y151" s="727"/>
      <c r="Z151" s="727"/>
      <c r="AA151" s="727"/>
      <c r="AB151" s="727"/>
      <c r="AC151" s="727"/>
      <c r="AD151" s="727"/>
      <c r="AE151" s="727"/>
      <c r="AF151" s="729">
        <f t="shared" si="113"/>
        <v>277987.00261260074</v>
      </c>
      <c r="AG151" s="729">
        <f t="shared" si="114"/>
        <v>277987.00261260074</v>
      </c>
      <c r="AH151" s="730">
        <f t="shared" si="104"/>
        <v>549999.70746474736</v>
      </c>
      <c r="AI151" s="730">
        <f t="shared" si="115"/>
        <v>63915.077548056135</v>
      </c>
      <c r="AJ151" s="730">
        <f t="shared" si="116"/>
        <v>37237.230209363304</v>
      </c>
      <c r="AK151" s="718">
        <f t="shared" si="117"/>
        <v>361922000</v>
      </c>
      <c r="AL151" s="718">
        <f t="shared" ref="AL151:AQ160" si="123">SUMIF($G$13:$G$104,$F151,AL$13:AL$104)</f>
        <v>0</v>
      </c>
      <c r="AM151" s="718">
        <f t="shared" si="123"/>
        <v>361922000</v>
      </c>
      <c r="AN151" s="718">
        <f t="shared" si="123"/>
        <v>0</v>
      </c>
      <c r="AO151" s="718">
        <f t="shared" si="123"/>
        <v>0</v>
      </c>
      <c r="AP151" s="718">
        <f t="shared" si="123"/>
        <v>0</v>
      </c>
      <c r="AQ151" s="718">
        <f t="shared" si="123"/>
        <v>0</v>
      </c>
      <c r="AR151" s="730">
        <f t="shared" si="122"/>
        <v>504704400</v>
      </c>
      <c r="AS151" s="730">
        <f t="shared" si="122"/>
        <v>504704400</v>
      </c>
      <c r="AT151" s="730">
        <f t="shared" si="122"/>
        <v>42058700</v>
      </c>
      <c r="AU151" s="730">
        <f t="shared" si="122"/>
        <v>42058700</v>
      </c>
      <c r="AV151" s="730">
        <f t="shared" si="122"/>
        <v>294043200</v>
      </c>
      <c r="AW151" s="730">
        <f t="shared" si="122"/>
        <v>294043200</v>
      </c>
      <c r="AX151" s="730">
        <f t="shared" si="122"/>
        <v>24503600</v>
      </c>
      <c r="AY151" s="730">
        <f t="shared" si="119"/>
        <v>101152.30775741943</v>
      </c>
      <c r="AZ151" s="730">
        <f t="shared" si="122"/>
        <v>66562300</v>
      </c>
      <c r="BA151" s="731">
        <f t="shared" si="120"/>
        <v>13</v>
      </c>
      <c r="BB151" s="731">
        <f t="shared" si="121"/>
        <v>12</v>
      </c>
      <c r="BC151" s="514"/>
    </row>
    <row r="152" spans="3:55" ht="16.5">
      <c r="C152" s="716">
        <v>31</v>
      </c>
      <c r="D152" s="717" t="s">
        <v>1873</v>
      </c>
      <c r="E152" s="717">
        <f t="shared" si="99"/>
        <v>1</v>
      </c>
      <c r="F152" s="706" t="s">
        <v>1874</v>
      </c>
      <c r="G152" s="706"/>
      <c r="H152" s="718">
        <f t="shared" si="100"/>
        <v>144.72</v>
      </c>
      <c r="I152" s="735">
        <f t="shared" si="107"/>
        <v>43.777799999999999</v>
      </c>
      <c r="J152" s="735">
        <f t="shared" si="101"/>
        <v>52.69</v>
      </c>
      <c r="K152" s="735">
        <f t="shared" si="102"/>
        <v>15.938724999999998</v>
      </c>
      <c r="L152" s="720">
        <f t="shared" si="108"/>
        <v>1.5609187029058946E-3</v>
      </c>
      <c r="M152" s="736">
        <f t="shared" si="103"/>
        <v>0.36408236594803756</v>
      </c>
      <c r="N152" s="722"/>
      <c r="O152" s="728"/>
      <c r="P152" s="724">
        <f t="shared" si="109"/>
        <v>60.000000000000007</v>
      </c>
      <c r="Q152" s="725">
        <f t="shared" si="110"/>
        <v>1.5609187029058948E-3</v>
      </c>
      <c r="R152" s="726" t="str">
        <f t="shared" si="111"/>
        <v>N/A</v>
      </c>
      <c r="S152" s="726">
        <f t="shared" si="112"/>
        <v>1.5609187029058948E-3</v>
      </c>
      <c r="T152" s="727"/>
      <c r="U152" s="727"/>
      <c r="V152" s="728"/>
      <c r="W152" s="728"/>
      <c r="X152" s="727"/>
      <c r="Y152" s="727"/>
      <c r="Z152" s="727"/>
      <c r="AA152" s="727"/>
      <c r="AB152" s="727"/>
      <c r="AC152" s="727"/>
      <c r="AD152" s="727"/>
      <c r="AE152" s="727"/>
      <c r="AF152" s="729">
        <f t="shared" si="113"/>
        <v>451597.28899268928</v>
      </c>
      <c r="AG152" s="729">
        <f t="shared" si="114"/>
        <v>449176.33694734756</v>
      </c>
      <c r="AH152" s="730">
        <f t="shared" si="104"/>
        <v>1650014.3908556392</v>
      </c>
      <c r="AI152" s="730">
        <f t="shared" si="115"/>
        <v>122043.59287127266</v>
      </c>
      <c r="AJ152" s="730">
        <f t="shared" si="116"/>
        <v>38249.980583766199</v>
      </c>
      <c r="AK152" s="718">
        <f t="shared" si="117"/>
        <v>72234000</v>
      </c>
      <c r="AL152" s="718">
        <f t="shared" si="123"/>
        <v>0</v>
      </c>
      <c r="AM152" s="718">
        <f t="shared" si="123"/>
        <v>0</v>
      </c>
      <c r="AN152" s="718">
        <f t="shared" si="123"/>
        <v>72234000</v>
      </c>
      <c r="AO152" s="718">
        <f t="shared" si="123"/>
        <v>0</v>
      </c>
      <c r="AP152" s="718">
        <f t="shared" si="123"/>
        <v>0</v>
      </c>
      <c r="AQ152" s="718">
        <f t="shared" si="123"/>
        <v>0</v>
      </c>
      <c r="AR152" s="730">
        <f t="shared" si="122"/>
        <v>320568000.00000006</v>
      </c>
      <c r="AS152" s="730">
        <f t="shared" si="122"/>
        <v>318252786.66666669</v>
      </c>
      <c r="AT152" s="730">
        <f t="shared" si="122"/>
        <v>5342800</v>
      </c>
      <c r="AU152" s="730">
        <f t="shared" si="122"/>
        <v>5304213.111111111</v>
      </c>
      <c r="AV152" s="730">
        <f t="shared" si="122"/>
        <v>100470000</v>
      </c>
      <c r="AW152" s="730">
        <f t="shared" si="122"/>
        <v>100470000</v>
      </c>
      <c r="AX152" s="730">
        <f t="shared" si="122"/>
        <v>1674500</v>
      </c>
      <c r="AY152" s="730">
        <f t="shared" si="119"/>
        <v>160293.57345503886</v>
      </c>
      <c r="AZ152" s="730">
        <f t="shared" si="122"/>
        <v>7017300</v>
      </c>
      <c r="BA152" s="731">
        <f t="shared" si="120"/>
        <v>1</v>
      </c>
      <c r="BB152" s="731">
        <f t="shared" si="121"/>
        <v>1</v>
      </c>
      <c r="BC152" s="514"/>
    </row>
    <row r="153" spans="3:55" ht="16.5">
      <c r="C153" s="716">
        <v>32</v>
      </c>
      <c r="D153" s="717" t="s">
        <v>1873</v>
      </c>
      <c r="E153" s="717">
        <f t="shared" si="99"/>
        <v>1</v>
      </c>
      <c r="F153" s="706" t="s">
        <v>1876</v>
      </c>
      <c r="G153" s="706"/>
      <c r="H153" s="718">
        <f t="shared" si="100"/>
        <v>361.74</v>
      </c>
      <c r="I153" s="735">
        <f t="shared" si="107"/>
        <v>109.42635</v>
      </c>
      <c r="J153" s="735">
        <f t="shared" si="101"/>
        <v>131.69</v>
      </c>
      <c r="K153" s="735">
        <f t="shared" si="102"/>
        <v>39.836224999999999</v>
      </c>
      <c r="L153" s="720">
        <f t="shared" si="108"/>
        <v>3.9016496102071471E-3</v>
      </c>
      <c r="M153" s="736">
        <f t="shared" si="103"/>
        <v>0.36404599988942332</v>
      </c>
      <c r="N153" s="722"/>
      <c r="O153" s="728"/>
      <c r="P153" s="724">
        <f t="shared" si="109"/>
        <v>62</v>
      </c>
      <c r="Q153" s="725">
        <f t="shared" si="110"/>
        <v>3.9016496102071479E-3</v>
      </c>
      <c r="R153" s="726" t="str">
        <f t="shared" si="111"/>
        <v>N/A</v>
      </c>
      <c r="S153" s="726">
        <f t="shared" si="112"/>
        <v>3.9016496102071479E-3</v>
      </c>
      <c r="T153" s="727"/>
      <c r="U153" s="727"/>
      <c r="V153" s="728"/>
      <c r="W153" s="728"/>
      <c r="X153" s="727"/>
      <c r="Y153" s="727"/>
      <c r="Z153" s="727"/>
      <c r="AA153" s="727"/>
      <c r="AB153" s="727"/>
      <c r="AC153" s="727"/>
      <c r="AD153" s="727"/>
      <c r="AE153" s="727"/>
      <c r="AF153" s="729">
        <f t="shared" si="113"/>
        <v>275278.6565494095</v>
      </c>
      <c r="AG153" s="729">
        <f t="shared" si="114"/>
        <v>227877.61169207061</v>
      </c>
      <c r="AH153" s="730">
        <f t="shared" si="104"/>
        <v>652722.12771421147</v>
      </c>
      <c r="AI153" s="730">
        <f t="shared" si="115"/>
        <v>70443.727676194991</v>
      </c>
      <c r="AJ153" s="730">
        <f t="shared" si="116"/>
        <v>28138.560776266411</v>
      </c>
      <c r="AK153" s="718">
        <f t="shared" si="117"/>
        <v>71425000</v>
      </c>
      <c r="AL153" s="718">
        <f t="shared" si="123"/>
        <v>0</v>
      </c>
      <c r="AM153" s="718">
        <f t="shared" si="123"/>
        <v>0</v>
      </c>
      <c r="AN153" s="718">
        <f t="shared" si="123"/>
        <v>71425000</v>
      </c>
      <c r="AO153" s="718">
        <f t="shared" si="123"/>
        <v>0</v>
      </c>
      <c r="AP153" s="718">
        <f t="shared" si="123"/>
        <v>0</v>
      </c>
      <c r="AQ153" s="718">
        <f t="shared" si="123"/>
        <v>0</v>
      </c>
      <c r="AR153" s="730">
        <f t="shared" si="122"/>
        <v>477920799.99999994</v>
      </c>
      <c r="AS153" s="730">
        <f t="shared" si="122"/>
        <v>395183973.33333331</v>
      </c>
      <c r="AT153" s="730">
        <f t="shared" si="122"/>
        <v>7708400</v>
      </c>
      <c r="AU153" s="730">
        <f t="shared" si="122"/>
        <v>6373935.0537634408</v>
      </c>
      <c r="AV153" s="730">
        <f t="shared" si="122"/>
        <v>190904200</v>
      </c>
      <c r="AW153" s="730">
        <f t="shared" si="122"/>
        <v>190904200</v>
      </c>
      <c r="AX153" s="730">
        <f t="shared" si="122"/>
        <v>3079100</v>
      </c>
      <c r="AY153" s="730">
        <f t="shared" si="119"/>
        <v>98582.288452461406</v>
      </c>
      <c r="AZ153" s="730">
        <f t="shared" si="122"/>
        <v>10787500</v>
      </c>
      <c r="BA153" s="731">
        <f t="shared" si="120"/>
        <v>2</v>
      </c>
      <c r="BB153" s="731">
        <f t="shared" si="121"/>
        <v>2</v>
      </c>
      <c r="BC153" s="514"/>
    </row>
    <row r="154" spans="3:55" ht="16.5">
      <c r="C154" s="716">
        <v>33</v>
      </c>
      <c r="D154" s="717" t="s">
        <v>1873</v>
      </c>
      <c r="E154" s="717">
        <f t="shared" si="99"/>
        <v>1</v>
      </c>
      <c r="F154" s="706" t="s">
        <v>1878</v>
      </c>
      <c r="G154" s="706"/>
      <c r="H154" s="718">
        <f t="shared" si="100"/>
        <v>356.56</v>
      </c>
      <c r="I154" s="735">
        <f t="shared" si="107"/>
        <v>107.85939999999999</v>
      </c>
      <c r="J154" s="735">
        <f t="shared" si="101"/>
        <v>129.81</v>
      </c>
      <c r="K154" s="735">
        <f t="shared" si="102"/>
        <v>39.267524999999999</v>
      </c>
      <c r="L154" s="720">
        <f t="shared" si="108"/>
        <v>3.8457792475685864E-3</v>
      </c>
      <c r="M154" s="736">
        <f t="shared" si="103"/>
        <v>0.3640621494278663</v>
      </c>
      <c r="N154" s="722"/>
      <c r="O154" s="728"/>
      <c r="P154" s="724">
        <f t="shared" si="109"/>
        <v>2</v>
      </c>
      <c r="Q154" s="725">
        <f t="shared" si="110"/>
        <v>3.8457792475685868E-3</v>
      </c>
      <c r="R154" s="726" t="str">
        <f t="shared" si="111"/>
        <v>N/A</v>
      </c>
      <c r="S154" s="726">
        <f t="shared" si="112"/>
        <v>3.8457792475685868E-3</v>
      </c>
      <c r="T154" s="727"/>
      <c r="U154" s="727"/>
      <c r="V154" s="728"/>
      <c r="W154" s="728"/>
      <c r="X154" s="727"/>
      <c r="Y154" s="727"/>
      <c r="Z154" s="727"/>
      <c r="AA154" s="727"/>
      <c r="AB154" s="727"/>
      <c r="AC154" s="727"/>
      <c r="AD154" s="727"/>
      <c r="AE154" s="727"/>
      <c r="AF154" s="729">
        <f t="shared" si="113"/>
        <v>311055.89160508587</v>
      </c>
      <c r="AG154" s="729">
        <f t="shared" si="114"/>
        <v>311055.89160508587</v>
      </c>
      <c r="AH154" s="730">
        <f t="shared" si="104"/>
        <v>579995.80935922137</v>
      </c>
      <c r="AI154" s="730">
        <f t="shared" si="115"/>
        <v>74192.884440299138</v>
      </c>
      <c r="AJ154" s="730">
        <f t="shared" si="116"/>
        <v>37600.802526251769</v>
      </c>
      <c r="AK154" s="718">
        <f t="shared" si="117"/>
        <v>62558000</v>
      </c>
      <c r="AL154" s="718">
        <f t="shared" si="123"/>
        <v>0</v>
      </c>
      <c r="AM154" s="718">
        <f t="shared" si="123"/>
        <v>0</v>
      </c>
      <c r="AN154" s="718">
        <f t="shared" si="123"/>
        <v>62558000</v>
      </c>
      <c r="AO154" s="718">
        <f t="shared" si="123"/>
        <v>0</v>
      </c>
      <c r="AP154" s="718">
        <f t="shared" si="123"/>
        <v>0</v>
      </c>
      <c r="AQ154" s="718">
        <f t="shared" si="123"/>
        <v>0</v>
      </c>
      <c r="AR154" s="730">
        <f t="shared" si="122"/>
        <v>16004800</v>
      </c>
      <c r="AS154" s="730">
        <f t="shared" si="122"/>
        <v>16004800</v>
      </c>
      <c r="AT154" s="730">
        <f t="shared" si="122"/>
        <v>8002400</v>
      </c>
      <c r="AU154" s="730">
        <f t="shared" si="122"/>
        <v>8002400</v>
      </c>
      <c r="AV154" s="730">
        <f t="shared" si="122"/>
        <v>8111200</v>
      </c>
      <c r="AW154" s="730">
        <f t="shared" si="122"/>
        <v>8111200</v>
      </c>
      <c r="AX154" s="730">
        <f t="shared" si="122"/>
        <v>4055600</v>
      </c>
      <c r="AY154" s="730">
        <f t="shared" si="119"/>
        <v>111793.6869665509</v>
      </c>
      <c r="AZ154" s="730">
        <f t="shared" si="122"/>
        <v>12058000</v>
      </c>
      <c r="BA154" s="731">
        <f t="shared" si="120"/>
        <v>2</v>
      </c>
      <c r="BB154" s="731">
        <f t="shared" si="121"/>
        <v>2</v>
      </c>
      <c r="BC154" s="514"/>
    </row>
    <row r="155" spans="3:55" ht="16.5">
      <c r="C155" s="716">
        <v>34</v>
      </c>
      <c r="D155" s="717" t="s">
        <v>1873</v>
      </c>
      <c r="E155" s="717">
        <f t="shared" si="99"/>
        <v>1</v>
      </c>
      <c r="F155" s="706" t="s">
        <v>1881</v>
      </c>
      <c r="G155" s="706"/>
      <c r="H155" s="718">
        <f t="shared" si="100"/>
        <v>693.25</v>
      </c>
      <c r="I155" s="735">
        <f t="shared" si="107"/>
        <v>209.708125</v>
      </c>
      <c r="J155" s="735">
        <f t="shared" si="101"/>
        <v>252.4</v>
      </c>
      <c r="K155" s="735">
        <f t="shared" si="102"/>
        <v>76.350999999999999</v>
      </c>
      <c r="L155" s="720">
        <f t="shared" si="108"/>
        <v>7.4772449612321131E-3</v>
      </c>
      <c r="M155" s="736">
        <f t="shared" si="103"/>
        <v>0.36408222142084384</v>
      </c>
      <c r="N155" s="722"/>
      <c r="O155" s="728"/>
      <c r="P155" s="724">
        <f t="shared" si="109"/>
        <v>36</v>
      </c>
      <c r="Q155" s="725">
        <f t="shared" si="110"/>
        <v>7.4772449612321148E-3</v>
      </c>
      <c r="R155" s="726" t="str">
        <f t="shared" si="111"/>
        <v>N/A</v>
      </c>
      <c r="S155" s="726">
        <f t="shared" si="112"/>
        <v>7.4772449612321148E-3</v>
      </c>
      <c r="T155" s="727"/>
      <c r="U155" s="727"/>
      <c r="V155" s="728"/>
      <c r="W155" s="728"/>
      <c r="X155" s="727"/>
      <c r="Y155" s="727"/>
      <c r="Z155" s="727"/>
      <c r="AA155" s="727"/>
      <c r="AB155" s="727"/>
      <c r="AC155" s="727"/>
      <c r="AD155" s="727"/>
      <c r="AE155" s="727"/>
      <c r="AF155" s="729">
        <f t="shared" si="113"/>
        <v>283106.86827939388</v>
      </c>
      <c r="AG155" s="729">
        <f t="shared" si="114"/>
        <v>222143.24850580431</v>
      </c>
      <c r="AH155" s="730">
        <f t="shared" si="104"/>
        <v>615317.12230987719</v>
      </c>
      <c r="AI155" s="730">
        <f t="shared" si="115"/>
        <v>66587.310339072457</v>
      </c>
      <c r="AJ155" s="730">
        <f t="shared" si="116"/>
        <v>34948.574357812795</v>
      </c>
      <c r="AK155" s="718">
        <f t="shared" si="117"/>
        <v>129037000</v>
      </c>
      <c r="AL155" s="718">
        <f t="shared" si="123"/>
        <v>0</v>
      </c>
      <c r="AM155" s="718">
        <f t="shared" si="123"/>
        <v>0</v>
      </c>
      <c r="AN155" s="718">
        <f t="shared" si="123"/>
        <v>129037000</v>
      </c>
      <c r="AO155" s="718">
        <f t="shared" si="123"/>
        <v>0</v>
      </c>
      <c r="AP155" s="718">
        <f t="shared" si="123"/>
        <v>0</v>
      </c>
      <c r="AQ155" s="718">
        <f t="shared" si="123"/>
        <v>0</v>
      </c>
      <c r="AR155" s="730">
        <f t="shared" si="122"/>
        <v>502700400</v>
      </c>
      <c r="AS155" s="730">
        <f t="shared" si="122"/>
        <v>335133600</v>
      </c>
      <c r="AT155" s="730">
        <f t="shared" si="122"/>
        <v>13963900</v>
      </c>
      <c r="AU155" s="730">
        <f t="shared" si="122"/>
        <v>9309266.666666666</v>
      </c>
      <c r="AV155" s="730">
        <f t="shared" si="122"/>
        <v>263844000.00000003</v>
      </c>
      <c r="AW155" s="730">
        <f t="shared" si="122"/>
        <v>263844000.00000003</v>
      </c>
      <c r="AX155" s="730">
        <f t="shared" si="122"/>
        <v>7329000</v>
      </c>
      <c r="AY155" s="730">
        <f t="shared" si="119"/>
        <v>101535.88469688526</v>
      </c>
      <c r="AZ155" s="730">
        <f t="shared" si="122"/>
        <v>21292900</v>
      </c>
      <c r="BA155" s="731">
        <f t="shared" si="120"/>
        <v>4</v>
      </c>
      <c r="BB155" s="731">
        <f t="shared" si="121"/>
        <v>4</v>
      </c>
      <c r="BC155" s="514"/>
    </row>
    <row r="156" spans="3:55" ht="16.5">
      <c r="C156" s="716">
        <v>35</v>
      </c>
      <c r="D156" s="717" t="s">
        <v>1873</v>
      </c>
      <c r="E156" s="717">
        <f t="shared" si="99"/>
        <v>1</v>
      </c>
      <c r="F156" s="706" t="s">
        <v>1884</v>
      </c>
      <c r="G156" s="706"/>
      <c r="H156" s="718">
        <f t="shared" si="100"/>
        <v>259.3</v>
      </c>
      <c r="I156" s="735">
        <f t="shared" si="107"/>
        <v>78.438249999999996</v>
      </c>
      <c r="J156" s="735">
        <f t="shared" si="101"/>
        <v>94.4</v>
      </c>
      <c r="K156" s="735">
        <f t="shared" si="102"/>
        <v>28.556000000000001</v>
      </c>
      <c r="L156" s="720">
        <f t="shared" si="108"/>
        <v>2.7967538672159929E-3</v>
      </c>
      <c r="M156" s="736">
        <f t="shared" si="103"/>
        <v>0.36405707674508292</v>
      </c>
      <c r="N156" s="722"/>
      <c r="O156" s="728"/>
      <c r="P156" s="724">
        <f t="shared" si="109"/>
        <v>60.000000000000007</v>
      </c>
      <c r="Q156" s="725">
        <f t="shared" si="110"/>
        <v>2.7967538672159934E-3</v>
      </c>
      <c r="R156" s="726" t="str">
        <f t="shared" si="111"/>
        <v>N/A</v>
      </c>
      <c r="S156" s="726">
        <f t="shared" si="112"/>
        <v>2.7967538672159934E-3</v>
      </c>
      <c r="T156" s="727"/>
      <c r="U156" s="727"/>
      <c r="V156" s="728"/>
      <c r="W156" s="728"/>
      <c r="X156" s="727"/>
      <c r="Y156" s="727"/>
      <c r="Z156" s="727"/>
      <c r="AA156" s="727"/>
      <c r="AB156" s="727"/>
      <c r="AC156" s="727"/>
      <c r="AD156" s="727"/>
      <c r="AE156" s="727"/>
      <c r="AF156" s="729">
        <f t="shared" si="113"/>
        <v>305672.18798151001</v>
      </c>
      <c r="AG156" s="729">
        <f t="shared" si="114"/>
        <v>305672.18798151001</v>
      </c>
      <c r="AH156" s="730">
        <f t="shared" si="104"/>
        <v>579181.71300354099</v>
      </c>
      <c r="AI156" s="730">
        <f t="shared" si="115"/>
        <v>72399.626457754988</v>
      </c>
      <c r="AJ156" s="730">
        <f t="shared" si="116"/>
        <v>37434.542458558164</v>
      </c>
      <c r="AK156" s="718">
        <f t="shared" si="117"/>
        <v>45430000</v>
      </c>
      <c r="AL156" s="718">
        <f t="shared" si="123"/>
        <v>0</v>
      </c>
      <c r="AM156" s="718">
        <f t="shared" si="123"/>
        <v>0</v>
      </c>
      <c r="AN156" s="718">
        <f t="shared" si="123"/>
        <v>45430000</v>
      </c>
      <c r="AO156" s="718">
        <f t="shared" si="123"/>
        <v>0</v>
      </c>
      <c r="AP156" s="718">
        <f t="shared" si="123"/>
        <v>0</v>
      </c>
      <c r="AQ156" s="718">
        <f t="shared" si="123"/>
        <v>0</v>
      </c>
      <c r="AR156" s="730">
        <f t="shared" si="122"/>
        <v>340734000</v>
      </c>
      <c r="AS156" s="730">
        <f t="shared" si="122"/>
        <v>340734000</v>
      </c>
      <c r="AT156" s="730">
        <f t="shared" si="122"/>
        <v>5678900</v>
      </c>
      <c r="AU156" s="730">
        <f t="shared" si="122"/>
        <v>5678900</v>
      </c>
      <c r="AV156" s="730">
        <f t="shared" si="122"/>
        <v>176178000</v>
      </c>
      <c r="AW156" s="730">
        <f t="shared" si="122"/>
        <v>176178000</v>
      </c>
      <c r="AX156" s="730">
        <f t="shared" si="122"/>
        <v>2936300</v>
      </c>
      <c r="AY156" s="730">
        <f t="shared" si="119"/>
        <v>109834.16891631315</v>
      </c>
      <c r="AZ156" s="730">
        <f t="shared" si="122"/>
        <v>8615200</v>
      </c>
      <c r="BA156" s="731">
        <f t="shared" si="120"/>
        <v>2</v>
      </c>
      <c r="BB156" s="731">
        <f t="shared" si="121"/>
        <v>1</v>
      </c>
      <c r="BC156" s="514"/>
    </row>
    <row r="157" spans="3:55" ht="16.5">
      <c r="C157" s="716">
        <v>36</v>
      </c>
      <c r="D157" s="717" t="s">
        <v>1873</v>
      </c>
      <c r="E157" s="717">
        <f t="shared" si="99"/>
        <v>1</v>
      </c>
      <c r="F157" s="706" t="s">
        <v>1927</v>
      </c>
      <c r="G157" s="706"/>
      <c r="H157" s="718">
        <f t="shared" si="100"/>
        <v>192.82</v>
      </c>
      <c r="I157" s="735">
        <f t="shared" si="107"/>
        <v>58.328049999999998</v>
      </c>
      <c r="J157" s="735">
        <f t="shared" si="101"/>
        <v>78.724295219085633</v>
      </c>
      <c r="K157" s="735">
        <f t="shared" si="102"/>
        <v>23.814099303773403</v>
      </c>
      <c r="L157" s="720">
        <f t="shared" si="108"/>
        <v>2.0797149274068174E-3</v>
      </c>
      <c r="M157" s="736">
        <f t="shared" si="103"/>
        <v>0.40827868073377055</v>
      </c>
      <c r="N157" s="722"/>
      <c r="O157" s="728"/>
      <c r="P157" s="724">
        <f t="shared" si="109"/>
        <v>36</v>
      </c>
      <c r="Q157" s="725">
        <f t="shared" si="110"/>
        <v>2.0797149274068179E-3</v>
      </c>
      <c r="R157" s="726" t="str">
        <f t="shared" si="111"/>
        <v>N/A</v>
      </c>
      <c r="S157" s="726">
        <f t="shared" si="112"/>
        <v>2.0797149274068179E-3</v>
      </c>
      <c r="T157" s="727"/>
      <c r="U157" s="727"/>
      <c r="V157" s="728"/>
      <c r="W157" s="728"/>
      <c r="X157" s="727"/>
      <c r="Y157" s="727"/>
      <c r="Z157" s="727"/>
      <c r="AA157" s="727"/>
      <c r="AB157" s="727"/>
      <c r="AC157" s="727"/>
      <c r="AD157" s="727"/>
      <c r="AE157" s="727"/>
      <c r="AF157" s="729">
        <f t="shared" si="113"/>
        <v>332382.9257210574</v>
      </c>
      <c r="AG157" s="729">
        <f t="shared" si="114"/>
        <v>240096.21052911374</v>
      </c>
      <c r="AH157" s="730">
        <f t="shared" si="104"/>
        <v>1371552.7949245689</v>
      </c>
      <c r="AI157" s="730">
        <f t="shared" si="115"/>
        <v>100476.52887418661</v>
      </c>
      <c r="AJ157" s="730">
        <f t="shared" si="116"/>
        <v>31799.451550326132</v>
      </c>
      <c r="AK157" s="718">
        <f t="shared" si="117"/>
        <v>80000000</v>
      </c>
      <c r="AL157" s="718">
        <f t="shared" si="123"/>
        <v>0</v>
      </c>
      <c r="AM157" s="718">
        <f t="shared" si="123"/>
        <v>0</v>
      </c>
      <c r="AN157" s="718">
        <f t="shared" si="123"/>
        <v>80000000</v>
      </c>
      <c r="AO157" s="718">
        <f t="shared" si="123"/>
        <v>0</v>
      </c>
      <c r="AP157" s="718">
        <f t="shared" si="123"/>
        <v>0</v>
      </c>
      <c r="AQ157" s="718">
        <f t="shared" si="123"/>
        <v>0</v>
      </c>
      <c r="AR157" s="730">
        <f t="shared" si="122"/>
        <v>210981600</v>
      </c>
      <c r="AS157" s="730">
        <f t="shared" si="122"/>
        <v>131863500</v>
      </c>
      <c r="AT157" s="730">
        <f t="shared" si="122"/>
        <v>5860600</v>
      </c>
      <c r="AU157" s="730">
        <f t="shared" si="122"/>
        <v>3662875</v>
      </c>
      <c r="AV157" s="730">
        <f t="shared" si="122"/>
        <v>66772800.000000007</v>
      </c>
      <c r="AW157" s="730">
        <f t="shared" si="122"/>
        <v>66772800.000000007</v>
      </c>
      <c r="AX157" s="730">
        <f t="shared" si="122"/>
        <v>1854800</v>
      </c>
      <c r="AY157" s="730">
        <f t="shared" si="119"/>
        <v>132275.98042451273</v>
      </c>
      <c r="AZ157" s="730">
        <f t="shared" si="122"/>
        <v>7715400</v>
      </c>
      <c r="BA157" s="731">
        <f t="shared" si="120"/>
        <v>1</v>
      </c>
      <c r="BB157" s="731">
        <f t="shared" si="121"/>
        <v>1</v>
      </c>
      <c r="BC157" s="514"/>
    </row>
    <row r="158" spans="3:55" ht="16.5">
      <c r="C158" s="716">
        <v>37</v>
      </c>
      <c r="D158" s="717" t="s">
        <v>1873</v>
      </c>
      <c r="E158" s="717">
        <f t="shared" si="99"/>
        <v>1</v>
      </c>
      <c r="F158" s="706" t="s">
        <v>1929</v>
      </c>
      <c r="G158" s="706"/>
      <c r="H158" s="718">
        <f t="shared" si="100"/>
        <v>420.84</v>
      </c>
      <c r="I158" s="735">
        <f>H158*$I$118</f>
        <v>127.30409999999999</v>
      </c>
      <c r="J158" s="735">
        <f t="shared" si="101"/>
        <v>171.82</v>
      </c>
      <c r="K158" s="735">
        <f t="shared" si="102"/>
        <v>51.975549999999998</v>
      </c>
      <c r="L158" s="720">
        <f t="shared" si="108"/>
        <v>4.5390894619328128E-3</v>
      </c>
      <c r="M158" s="736">
        <f t="shared" si="103"/>
        <v>0.40827868073377055</v>
      </c>
      <c r="N158" s="722"/>
      <c r="O158" s="728"/>
      <c r="P158" s="724">
        <f t="shared" si="109"/>
        <v>60</v>
      </c>
      <c r="Q158" s="725">
        <f t="shared" si="110"/>
        <v>4.5390894619328137E-3</v>
      </c>
      <c r="R158" s="726" t="str">
        <f t="shared" si="111"/>
        <v>N/A</v>
      </c>
      <c r="S158" s="726">
        <f t="shared" si="112"/>
        <v>4.5390894619328137E-3</v>
      </c>
      <c r="T158" s="727"/>
      <c r="U158" s="727"/>
      <c r="V158" s="728"/>
      <c r="W158" s="728"/>
      <c r="X158" s="727"/>
      <c r="Y158" s="727"/>
      <c r="Z158" s="727"/>
      <c r="AA158" s="727"/>
      <c r="AB158" s="727"/>
      <c r="AC158" s="727"/>
      <c r="AD158" s="727"/>
      <c r="AE158" s="727"/>
      <c r="AF158" s="729">
        <f t="shared" si="113"/>
        <v>229761.87842168097</v>
      </c>
      <c r="AG158" s="729">
        <f t="shared" si="114"/>
        <v>145273.43465661581</v>
      </c>
      <c r="AH158" s="730">
        <f t="shared" si="104"/>
        <v>653553.1848542192</v>
      </c>
      <c r="AI158" s="730">
        <f t="shared" si="115"/>
        <v>57397.994251559852</v>
      </c>
      <c r="AJ158" s="730">
        <f t="shared" si="116"/>
        <v>34774.999391221492</v>
      </c>
      <c r="AK158" s="718">
        <f t="shared" si="117"/>
        <v>83200000</v>
      </c>
      <c r="AL158" s="718">
        <f t="shared" si="123"/>
        <v>0</v>
      </c>
      <c r="AM158" s="718">
        <f t="shared" si="123"/>
        <v>0</v>
      </c>
      <c r="AN158" s="718">
        <f t="shared" si="123"/>
        <v>83200000</v>
      </c>
      <c r="AO158" s="718">
        <f t="shared" si="123"/>
        <v>0</v>
      </c>
      <c r="AP158" s="718">
        <f t="shared" si="123"/>
        <v>0</v>
      </c>
      <c r="AQ158" s="718">
        <f t="shared" si="123"/>
        <v>0</v>
      </c>
      <c r="AR158" s="730">
        <f t="shared" si="122"/>
        <v>438420000</v>
      </c>
      <c r="AS158" s="730">
        <f t="shared" si="122"/>
        <v>219210000</v>
      </c>
      <c r="AT158" s="730">
        <f t="shared" si="122"/>
        <v>7307000</v>
      </c>
      <c r="AU158" s="730">
        <f t="shared" si="122"/>
        <v>3653500</v>
      </c>
      <c r="AV158" s="730">
        <f t="shared" si="122"/>
        <v>265619999.99999997</v>
      </c>
      <c r="AW158" s="730">
        <f t="shared" si="122"/>
        <v>221350000</v>
      </c>
      <c r="AX158" s="730">
        <f t="shared" si="122"/>
        <v>4427000</v>
      </c>
      <c r="AY158" s="730">
        <f t="shared" si="119"/>
        <v>92172.993642781352</v>
      </c>
      <c r="AZ158" s="730">
        <f t="shared" si="122"/>
        <v>11734000</v>
      </c>
      <c r="BA158" s="731">
        <f t="shared" si="120"/>
        <v>3</v>
      </c>
      <c r="BB158" s="731">
        <f t="shared" si="121"/>
        <v>2</v>
      </c>
      <c r="BC158" s="514"/>
    </row>
    <row r="159" spans="3:55" ht="16.5">
      <c r="C159" s="737">
        <v>38</v>
      </c>
      <c r="D159" s="738" t="s">
        <v>1873</v>
      </c>
      <c r="E159" s="738">
        <f t="shared" si="99"/>
        <v>1</v>
      </c>
      <c r="F159" s="739" t="s">
        <v>1889</v>
      </c>
      <c r="G159" s="739"/>
      <c r="H159" s="740">
        <f t="shared" si="100"/>
        <v>200.81</v>
      </c>
      <c r="I159" s="741">
        <f>H159*$I$118</f>
        <v>60.745024999999998</v>
      </c>
      <c r="J159" s="741">
        <f t="shared" si="101"/>
        <v>73.11</v>
      </c>
      <c r="K159" s="741">
        <f t="shared" si="102"/>
        <v>22.115774999999999</v>
      </c>
      <c r="L159" s="720">
        <f t="shared" si="108"/>
        <v>2.1658933439091537E-3</v>
      </c>
      <c r="M159" s="742">
        <f t="shared" si="103"/>
        <v>0.36407549424829438</v>
      </c>
      <c r="N159" s="743"/>
      <c r="O159" s="744"/>
      <c r="P159" s="724">
        <f t="shared" si="109"/>
        <v>1</v>
      </c>
      <c r="Q159" s="725">
        <f t="shared" si="110"/>
        <v>2.1658933439091541E-3</v>
      </c>
      <c r="R159" s="726" t="str">
        <f t="shared" si="111"/>
        <v>N/A</v>
      </c>
      <c r="S159" s="726">
        <f t="shared" si="112"/>
        <v>2.1658933439091541E-3</v>
      </c>
      <c r="T159" s="745"/>
      <c r="U159" s="727"/>
      <c r="V159" s="744"/>
      <c r="W159" s="744"/>
      <c r="X159" s="727"/>
      <c r="Y159" s="745"/>
      <c r="Z159" s="745"/>
      <c r="AA159" s="745"/>
      <c r="AB159" s="745"/>
      <c r="AC159" s="745"/>
      <c r="AD159" s="745"/>
      <c r="AE159" s="745"/>
      <c r="AF159" s="729">
        <f t="shared" si="113"/>
        <v>0</v>
      </c>
      <c r="AG159" s="729">
        <f t="shared" si="114"/>
        <v>0</v>
      </c>
      <c r="AH159" s="730">
        <f t="shared" si="104"/>
        <v>0</v>
      </c>
      <c r="AI159" s="730">
        <f t="shared" si="115"/>
        <v>0</v>
      </c>
      <c r="AJ159" s="730">
        <f t="shared" si="116"/>
        <v>0</v>
      </c>
      <c r="AK159" s="718">
        <f t="shared" si="117"/>
        <v>0</v>
      </c>
      <c r="AL159" s="718">
        <f t="shared" si="123"/>
        <v>0</v>
      </c>
      <c r="AM159" s="718">
        <f t="shared" si="123"/>
        <v>0</v>
      </c>
      <c r="AN159" s="718">
        <f t="shared" si="123"/>
        <v>0</v>
      </c>
      <c r="AO159" s="718">
        <f t="shared" si="123"/>
        <v>0</v>
      </c>
      <c r="AP159" s="718">
        <f t="shared" si="123"/>
        <v>0</v>
      </c>
      <c r="AQ159" s="718">
        <f t="shared" si="123"/>
        <v>0</v>
      </c>
      <c r="AR159" s="730">
        <f t="shared" si="122"/>
        <v>0</v>
      </c>
      <c r="AS159" s="730">
        <f t="shared" si="122"/>
        <v>0</v>
      </c>
      <c r="AT159" s="730">
        <f t="shared" si="122"/>
        <v>0</v>
      </c>
      <c r="AU159" s="730">
        <f t="shared" si="122"/>
        <v>0</v>
      </c>
      <c r="AV159" s="730">
        <f t="shared" si="122"/>
        <v>0</v>
      </c>
      <c r="AW159" s="730">
        <f t="shared" si="122"/>
        <v>0</v>
      </c>
      <c r="AX159" s="730">
        <f t="shared" si="122"/>
        <v>0</v>
      </c>
      <c r="AY159" s="730">
        <f t="shared" si="119"/>
        <v>0</v>
      </c>
      <c r="AZ159" s="730">
        <f t="shared" si="122"/>
        <v>0</v>
      </c>
      <c r="BA159" s="731">
        <f t="shared" si="120"/>
        <v>1</v>
      </c>
      <c r="BB159" s="731">
        <f t="shared" si="121"/>
        <v>0</v>
      </c>
      <c r="BC159" s="514"/>
    </row>
    <row r="160" spans="3:55" ht="16.5">
      <c r="C160" s="737">
        <v>39</v>
      </c>
      <c r="D160" s="738" t="s">
        <v>470</v>
      </c>
      <c r="E160" s="738">
        <f t="shared" si="99"/>
        <v>3</v>
      </c>
      <c r="F160" s="739" t="s">
        <v>470</v>
      </c>
      <c r="G160" s="739"/>
      <c r="H160" s="740">
        <f>H109</f>
        <v>329.58000000000004</v>
      </c>
      <c r="I160" s="740">
        <f>I109</f>
        <v>99.697950000000006</v>
      </c>
      <c r="J160" s="740">
        <f>J109</f>
        <v>125.12515400000001</v>
      </c>
      <c r="K160" s="740">
        <f>K109</f>
        <v>37.850359085000001</v>
      </c>
      <c r="L160" s="746">
        <f t="shared" si="108"/>
        <v>3.554778787339171E-3</v>
      </c>
      <c r="M160" s="742">
        <f t="shared" si="103"/>
        <v>0.37965032465562226</v>
      </c>
      <c r="N160" s="743"/>
      <c r="O160" s="744"/>
      <c r="P160" s="724">
        <f t="shared" si="109"/>
        <v>1</v>
      </c>
      <c r="Q160" s="725">
        <f t="shared" si="110"/>
        <v>3.5547787873391715E-3</v>
      </c>
      <c r="R160" s="726" t="str">
        <f t="shared" si="111"/>
        <v>N/A</v>
      </c>
      <c r="S160" s="726" t="str">
        <f t="shared" si="112"/>
        <v>N/A</v>
      </c>
      <c r="T160" s="745"/>
      <c r="U160" s="727"/>
      <c r="V160" s="744"/>
      <c r="W160" s="744"/>
      <c r="X160" s="727"/>
      <c r="Y160" s="745"/>
      <c r="Z160" s="745"/>
      <c r="AA160" s="745"/>
      <c r="AB160" s="745"/>
      <c r="AC160" s="745"/>
      <c r="AD160" s="745"/>
      <c r="AE160" s="745"/>
      <c r="AF160" s="729">
        <f t="shared" si="113"/>
        <v>0</v>
      </c>
      <c r="AG160" s="729">
        <f t="shared" si="114"/>
        <v>0</v>
      </c>
      <c r="AH160" s="730">
        <f t="shared" si="104"/>
        <v>0</v>
      </c>
      <c r="AI160" s="730">
        <f t="shared" si="115"/>
        <v>0</v>
      </c>
      <c r="AJ160" s="730">
        <f t="shared" si="116"/>
        <v>0</v>
      </c>
      <c r="AK160" s="718">
        <f t="shared" si="117"/>
        <v>0</v>
      </c>
      <c r="AL160" s="718">
        <f t="shared" si="123"/>
        <v>0</v>
      </c>
      <c r="AM160" s="718">
        <f t="shared" si="123"/>
        <v>0</v>
      </c>
      <c r="AN160" s="718">
        <f t="shared" si="123"/>
        <v>0</v>
      </c>
      <c r="AO160" s="718">
        <f t="shared" si="123"/>
        <v>0</v>
      </c>
      <c r="AP160" s="718">
        <f t="shared" si="123"/>
        <v>0</v>
      </c>
      <c r="AQ160" s="718">
        <f t="shared" si="123"/>
        <v>0</v>
      </c>
      <c r="AR160" s="730">
        <f t="shared" si="122"/>
        <v>0</v>
      </c>
      <c r="AS160" s="730">
        <f t="shared" si="122"/>
        <v>0</v>
      </c>
      <c r="AT160" s="730">
        <f t="shared" si="122"/>
        <v>0</v>
      </c>
      <c r="AU160" s="730">
        <f t="shared" si="122"/>
        <v>0</v>
      </c>
      <c r="AV160" s="730">
        <f t="shared" si="122"/>
        <v>0</v>
      </c>
      <c r="AW160" s="730">
        <f t="shared" si="122"/>
        <v>0</v>
      </c>
      <c r="AX160" s="730">
        <f t="shared" si="122"/>
        <v>0</v>
      </c>
      <c r="AY160" s="730">
        <f t="shared" si="119"/>
        <v>0</v>
      </c>
      <c r="AZ160" s="730">
        <f t="shared" si="122"/>
        <v>0</v>
      </c>
      <c r="BA160" s="731">
        <f t="shared" si="120"/>
        <v>2</v>
      </c>
      <c r="BB160" s="731">
        <f t="shared" si="121"/>
        <v>0</v>
      </c>
      <c r="BC160" s="514"/>
    </row>
    <row r="161" spans="3:55" ht="16.5">
      <c r="C161" s="2027" t="s">
        <v>1932</v>
      </c>
      <c r="D161" s="2028"/>
      <c r="E161" s="2028"/>
      <c r="F161" s="2028"/>
      <c r="G161" s="2028"/>
      <c r="H161" s="2029">
        <f>SUM(H122:H160)</f>
        <v>92714.630000000034</v>
      </c>
      <c r="I161" s="2029">
        <f>SUM(I122:I160)</f>
        <v>28046.175575000005</v>
      </c>
      <c r="J161" s="2029">
        <f>SUM(J122:J160)</f>
        <v>36590.869061004763</v>
      </c>
      <c r="K161" s="2029">
        <f>SUM(K122:K160)</f>
        <v>11068.737890953937</v>
      </c>
      <c r="L161" s="2030">
        <f t="shared" si="108"/>
        <v>1</v>
      </c>
      <c r="M161" s="2031">
        <f t="shared" si="103"/>
        <v>0.39466122079120364</v>
      </c>
      <c r="N161" s="2032"/>
      <c r="O161" s="2033"/>
      <c r="P161" s="2033"/>
      <c r="Q161" s="2034">
        <f>SUM(Q122:Q160)</f>
        <v>0.99999999999999978</v>
      </c>
      <c r="R161" s="2034">
        <f t="shared" ref="R161:S161" si="124">SUM(R122:R160)</f>
        <v>0.96807817709028221</v>
      </c>
      <c r="S161" s="2034">
        <f t="shared" si="124"/>
        <v>2.8367044122378521E-2</v>
      </c>
      <c r="T161" s="2035"/>
      <c r="U161" s="2036"/>
      <c r="V161" s="2033"/>
      <c r="W161" s="2033"/>
      <c r="X161" s="2036"/>
      <c r="Y161" s="2035"/>
      <c r="Z161" s="2035"/>
      <c r="AA161" s="2035"/>
      <c r="AB161" s="2035"/>
      <c r="AC161" s="2035"/>
      <c r="AD161" s="2035"/>
      <c r="AE161" s="2035"/>
      <c r="AF161" s="2037"/>
      <c r="AG161" s="2037"/>
      <c r="AH161" s="2038"/>
      <c r="AI161" s="2038"/>
      <c r="AJ161" s="2038"/>
      <c r="AK161" s="2039">
        <f>SUM(AK122:AK160)</f>
        <v>13996029920</v>
      </c>
      <c r="AL161" s="2039">
        <f>SUM(AL122:AL160)</f>
        <v>0</v>
      </c>
      <c r="AM161" s="2039">
        <f>SUM(AM122:AM160)</f>
        <v>12638524320</v>
      </c>
      <c r="AN161" s="2039">
        <f>SUM(AN122:AN160)</f>
        <v>1357505600</v>
      </c>
      <c r="AO161" s="2039">
        <f t="shared" ref="AO161:AZ161" si="125">SUM(AO122:AO160)</f>
        <v>0</v>
      </c>
      <c r="AP161" s="2039">
        <f t="shared" si="125"/>
        <v>0</v>
      </c>
      <c r="AQ161" s="2039">
        <f t="shared" si="125"/>
        <v>0</v>
      </c>
      <c r="AR161" s="2039">
        <f t="shared" si="125"/>
        <v>82151825640</v>
      </c>
      <c r="AS161" s="2039">
        <f t="shared" si="125"/>
        <v>60781625478.6129</v>
      </c>
      <c r="AT161" s="2039">
        <f t="shared" si="125"/>
        <v>1598336070</v>
      </c>
      <c r="AU161" s="2039">
        <f t="shared" si="125"/>
        <v>1200954509.7596757</v>
      </c>
      <c r="AV161" s="2039">
        <f t="shared" si="125"/>
        <v>47887668164</v>
      </c>
      <c r="AW161" s="2039">
        <f t="shared" si="125"/>
        <v>47897025842.666672</v>
      </c>
      <c r="AX161" s="2039">
        <f t="shared" si="125"/>
        <v>932195766.99999988</v>
      </c>
      <c r="AY161" s="2039">
        <f>AZ161/I161</f>
        <v>90227.340630915933</v>
      </c>
      <c r="AZ161" s="2039">
        <f t="shared" si="125"/>
        <v>2530531837</v>
      </c>
      <c r="BA161" s="2029">
        <f>SUM(BA122:BA160)</f>
        <v>563</v>
      </c>
      <c r="BB161" s="2029">
        <f>SUM(BB122:BB160)</f>
        <v>592</v>
      </c>
      <c r="BC161" s="602"/>
    </row>
    <row r="162" spans="3:55">
      <c r="H162" s="747"/>
      <c r="AF162" s="440" t="s">
        <v>1962</v>
      </c>
      <c r="AK162" s="440" t="b">
        <f>AK108=AK161</f>
        <v>1</v>
      </c>
      <c r="AL162" s="440" t="b">
        <f>AL108=AL161</f>
        <v>1</v>
      </c>
    </row>
    <row r="163" spans="3:55">
      <c r="H163" s="747"/>
    </row>
    <row r="164" spans="3:55">
      <c r="H164" s="747"/>
    </row>
    <row r="166" spans="3:55">
      <c r="F166" s="693">
        <v>3091775000</v>
      </c>
      <c r="G166" s="694">
        <v>193587500</v>
      </c>
      <c r="H166" s="695">
        <v>119445100</v>
      </c>
      <c r="I166" s="694">
        <v>70</v>
      </c>
      <c r="K166" s="694" t="s">
        <v>1963</v>
      </c>
    </row>
    <row r="167" spans="3:55">
      <c r="E167" s="441">
        <v>2571.63</v>
      </c>
      <c r="F167" s="748">
        <f>(E167/$E$172)*$F$166</f>
        <v>684139178.85500979</v>
      </c>
      <c r="G167" s="748">
        <f>(E167/$E$172)*$G$166</f>
        <v>42836491.428578794</v>
      </c>
      <c r="H167" s="748">
        <f t="shared" ref="H167:H172" si="126">(E167/$E$172)*$H$166</f>
        <v>26430472.020847097</v>
      </c>
      <c r="I167" s="748">
        <f>(E167/$E$172)*$I$166</f>
        <v>15.489400916900708</v>
      </c>
      <c r="L167" s="694">
        <v>1065155000</v>
      </c>
      <c r="N167" s="699">
        <v>187139600</v>
      </c>
      <c r="P167" s="440">
        <v>110039200</v>
      </c>
      <c r="R167" s="440">
        <v>70</v>
      </c>
      <c r="AO167" s="459">
        <v>175003000</v>
      </c>
      <c r="AT167" s="701">
        <v>33104300</v>
      </c>
    </row>
    <row r="168" spans="3:55">
      <c r="E168" s="441">
        <v>2169.64</v>
      </c>
      <c r="F168" s="748">
        <f>(E168/$E$172)*$F$166</f>
        <v>577196458.28170598</v>
      </c>
      <c r="G168" s="748">
        <f>(E168/$E$172)*$G$166</f>
        <v>36140411.047896355</v>
      </c>
      <c r="H168" s="748">
        <f t="shared" si="126"/>
        <v>22298934.650517646</v>
      </c>
      <c r="I168" s="748">
        <f t="shared" ref="I168:I172" si="127">(E168/$E$172)*$I$166</f>
        <v>13.068141142133374</v>
      </c>
      <c r="K168" s="694">
        <v>794.84</v>
      </c>
      <c r="L168" s="694">
        <f t="shared" ref="L168:L173" si="128">(K168/$K$174)*$L$167</f>
        <v>248501671.65160421</v>
      </c>
      <c r="N168" s="694">
        <f t="shared" ref="N168:N173" si="129">(K168/$K$174)*$N$167</f>
        <v>43659846.155923367</v>
      </c>
      <c r="P168" s="694">
        <f>(K168/$K$174)*$P$167</f>
        <v>25672249.71690055</v>
      </c>
      <c r="R168" s="694">
        <f>(K168/$K$174)*$R$167</f>
        <v>16.331066385279414</v>
      </c>
      <c r="S168" s="694"/>
      <c r="AH168" s="487">
        <v>2534.4899999999998</v>
      </c>
      <c r="AI168" s="749"/>
      <c r="AJ168" s="749"/>
      <c r="AK168" s="749"/>
      <c r="AL168" s="749"/>
      <c r="AM168" s="749"/>
      <c r="AN168" s="749"/>
      <c r="AO168" s="694">
        <f>(AH168/$AH$170)*$AO$167</f>
        <v>126501499.75044422</v>
      </c>
      <c r="AP168" s="694"/>
      <c r="AQ168" s="694"/>
      <c r="AR168" s="694"/>
      <c r="AS168" s="694"/>
      <c r="AT168" s="694">
        <f>(AH168/$AH$170)*$AT$167</f>
        <v>23929553.19730879</v>
      </c>
      <c r="AU168" s="694"/>
      <c r="AV168" s="694"/>
      <c r="AW168" s="694"/>
    </row>
    <row r="169" spans="3:55">
      <c r="E169" s="441">
        <v>2597.09</v>
      </c>
      <c r="F169" s="748">
        <f>(E169/$E$172)*$F$166</f>
        <v>690912386.3124001</v>
      </c>
      <c r="G169" s="748">
        <f>(E169/$E$172)*$G$166</f>
        <v>43260587.068998151</v>
      </c>
      <c r="H169" s="748">
        <f t="shared" si="126"/>
        <v>26692142.563518774</v>
      </c>
      <c r="I169" s="748">
        <f t="shared" si="127"/>
        <v>15.642751183985901</v>
      </c>
      <c r="K169" s="694">
        <v>794.84</v>
      </c>
      <c r="L169" s="694">
        <f t="shared" si="128"/>
        <v>248501671.65160421</v>
      </c>
      <c r="N169" s="694">
        <f t="shared" si="129"/>
        <v>43659846.155923367</v>
      </c>
      <c r="P169" s="694">
        <f t="shared" ref="P169:P173" si="130">(K169/$K$174)*$P$167</f>
        <v>25672249.71690055</v>
      </c>
      <c r="R169" s="694">
        <f t="shared" ref="R169:R173" si="131">(K169/$K$174)*$R$167</f>
        <v>16.331066385279414</v>
      </c>
      <c r="S169" s="694"/>
      <c r="AH169" s="487">
        <v>971.74</v>
      </c>
      <c r="AI169" s="749"/>
      <c r="AJ169" s="749"/>
      <c r="AK169" s="749"/>
      <c r="AL169" s="749"/>
      <c r="AM169" s="749"/>
      <c r="AN169" s="749"/>
      <c r="AO169" s="694">
        <f>(AH169/$AH$170)*$AO$167</f>
        <v>48501500.249555796</v>
      </c>
      <c r="AP169" s="694"/>
      <c r="AQ169" s="694"/>
      <c r="AR169" s="694"/>
      <c r="AS169" s="694"/>
      <c r="AT169" s="694">
        <f>(AH169/$AH$170)*$AT$167</f>
        <v>9174746.8026912101</v>
      </c>
      <c r="AU169" s="694"/>
      <c r="AV169" s="694"/>
      <c r="AW169" s="694"/>
    </row>
    <row r="170" spans="3:55">
      <c r="E170" s="441">
        <v>1382.54</v>
      </c>
      <c r="F170" s="748">
        <f>(E170/$E$172)*$F$166</f>
        <v>367801659.00001371</v>
      </c>
      <c r="G170" s="748">
        <f>(E170/$E$172)*$G$166</f>
        <v>23029426.02927611</v>
      </c>
      <c r="H170" s="748">
        <f t="shared" si="126"/>
        <v>14209347.685204303</v>
      </c>
      <c r="I170" s="748">
        <f t="shared" si="127"/>
        <v>8.3272929401398734</v>
      </c>
      <c r="K170" s="694">
        <v>336.06</v>
      </c>
      <c r="L170" s="694">
        <f t="shared" si="128"/>
        <v>105067022.01101871</v>
      </c>
      <c r="N170" s="694">
        <f t="shared" si="129"/>
        <v>18459473.477881845</v>
      </c>
      <c r="P170" s="694">
        <f t="shared" si="130"/>
        <v>10854280.408461576</v>
      </c>
      <c r="R170" s="694">
        <f t="shared" si="131"/>
        <v>6.9048087280924468</v>
      </c>
      <c r="S170" s="694"/>
      <c r="AH170" s="750">
        <f>SUM(AH168:AH169)</f>
        <v>3506.2299999999996</v>
      </c>
      <c r="AI170" s="750"/>
      <c r="AJ170" s="750"/>
      <c r="AK170" s="750"/>
      <c r="AL170" s="750"/>
      <c r="AM170" s="750"/>
      <c r="AN170" s="750"/>
      <c r="AO170" s="750">
        <f t="shared" ref="AO170:AT170" si="132">SUM(AO168:AO169)</f>
        <v>175003000</v>
      </c>
      <c r="AP170" s="750"/>
      <c r="AQ170" s="750"/>
      <c r="AR170" s="750"/>
      <c r="AS170" s="750"/>
      <c r="AT170" s="750">
        <f t="shared" si="132"/>
        <v>33104300</v>
      </c>
      <c r="AU170" s="750"/>
    </row>
    <row r="171" spans="3:55">
      <c r="E171" s="441">
        <v>2900.86</v>
      </c>
      <c r="F171" s="748">
        <f>(E171/$E$172)*$F$166</f>
        <v>771725317.55087006</v>
      </c>
      <c r="G171" s="748">
        <f>(E171/$E$172)*$G$166</f>
        <v>48320584.42525056</v>
      </c>
      <c r="H171" s="748">
        <f t="shared" si="126"/>
        <v>29814203.079912163</v>
      </c>
      <c r="I171" s="748">
        <f t="shared" si="127"/>
        <v>17.472413816840131</v>
      </c>
      <c r="K171" s="694">
        <v>116.23999999999998</v>
      </c>
      <c r="L171" s="694">
        <f t="shared" si="128"/>
        <v>36341696.835567497</v>
      </c>
      <c r="N171" s="694">
        <f t="shared" si="129"/>
        <v>6384958.6296166908</v>
      </c>
      <c r="P171" s="694">
        <f t="shared" si="130"/>
        <v>3754393.7233814597</v>
      </c>
      <c r="R171" s="694">
        <f t="shared" si="131"/>
        <v>2.3883085358372487</v>
      </c>
      <c r="S171" s="694"/>
      <c r="AZ171" s="440">
        <v>58990100</v>
      </c>
      <c r="BA171" s="440">
        <v>32992000</v>
      </c>
    </row>
    <row r="172" spans="3:55">
      <c r="E172" s="441">
        <f>SUM(E167:E171)</f>
        <v>11621.760000000002</v>
      </c>
      <c r="F172" s="748">
        <f>SUM(F167:F171)</f>
        <v>3091774999.9999995</v>
      </c>
      <c r="G172" s="748">
        <f>SUM(G167:G171)</f>
        <v>193587499.99999997</v>
      </c>
      <c r="H172" s="748">
        <f t="shared" si="126"/>
        <v>119445100</v>
      </c>
      <c r="I172" s="748">
        <f t="shared" si="127"/>
        <v>70</v>
      </c>
      <c r="K172" s="694">
        <v>738.68999999999994</v>
      </c>
      <c r="L172" s="694">
        <f t="shared" si="128"/>
        <v>230946731.20668751</v>
      </c>
      <c r="N172" s="694">
        <f t="shared" si="129"/>
        <v>40575577.168888114</v>
      </c>
      <c r="P172" s="694">
        <f t="shared" si="130"/>
        <v>23858681.172786053</v>
      </c>
      <c r="R172" s="694">
        <f t="shared" si="131"/>
        <v>15.177388440619557</v>
      </c>
      <c r="S172" s="694"/>
      <c r="AZ172" s="440">
        <f>AZ171-24561000</f>
        <v>34429100</v>
      </c>
      <c r="BA172" s="440">
        <f>BA171-13374000</f>
        <v>19618000</v>
      </c>
    </row>
    <row r="173" spans="3:55">
      <c r="F173" s="693" t="b">
        <f>F172=F166</f>
        <v>1</v>
      </c>
      <c r="G173" s="693" t="b">
        <f>G172=G166</f>
        <v>1</v>
      </c>
      <c r="H173" s="693" t="b">
        <f>H172=H166</f>
        <v>1</v>
      </c>
      <c r="K173" s="694">
        <v>626.26</v>
      </c>
      <c r="L173" s="694">
        <f t="shared" si="128"/>
        <v>195796206.64351773</v>
      </c>
      <c r="N173" s="694">
        <f t="shared" si="129"/>
        <v>34399898.411766604</v>
      </c>
      <c r="P173" s="694">
        <f t="shared" si="130"/>
        <v>20227345.261569798</v>
      </c>
      <c r="R173" s="694">
        <f t="shared" si="131"/>
        <v>12.86736152489191</v>
      </c>
      <c r="S173" s="694"/>
      <c r="AT173" s="701">
        <v>13374000</v>
      </c>
      <c r="AZ173" s="440">
        <f>ROUND(AZ172*1.02,-2)</f>
        <v>35117700</v>
      </c>
      <c r="BA173" s="440">
        <f>ROUND(BA172*1.02,-2)</f>
        <v>20010400</v>
      </c>
    </row>
    <row r="174" spans="3:55">
      <c r="K174" s="694">
        <f>SUM(K168:K173)</f>
        <v>3406.9300000000003</v>
      </c>
      <c r="L174" s="694">
        <f>SUM(L168:L173)</f>
        <v>1065154999.9999998</v>
      </c>
      <c r="M174" s="697" t="b">
        <f>L174=L167</f>
        <v>1</v>
      </c>
      <c r="N174" s="694">
        <f>SUM(N168:N173)</f>
        <v>187139600</v>
      </c>
      <c r="O174" s="697" t="b">
        <f>N174=N167</f>
        <v>1</v>
      </c>
      <c r="P174" s="694">
        <f>SUM(P168:P173)</f>
        <v>110039199.99999999</v>
      </c>
      <c r="Q174" s="697" t="b">
        <f>P174=P167</f>
        <v>1</v>
      </c>
      <c r="R174" s="694">
        <f>SUM(R168:R173)</f>
        <v>69.999999999999986</v>
      </c>
      <c r="S174" s="694"/>
      <c r="AQ174" s="459">
        <v>969.72</v>
      </c>
      <c r="AR174" s="748"/>
      <c r="AS174" s="748"/>
      <c r="AT174" s="748">
        <f>(AQ174/$AQ$176)*$AT$173</f>
        <v>9094057.4153285194</v>
      </c>
      <c r="AU174" s="748"/>
    </row>
    <row r="175" spans="3:55">
      <c r="AQ175" s="459">
        <v>456.38</v>
      </c>
      <c r="AR175" s="748"/>
      <c r="AS175" s="748"/>
      <c r="AT175" s="748">
        <f>(AQ175/$AQ$176)*$AT$173</f>
        <v>4279942.5846714824</v>
      </c>
      <c r="AU175" s="748"/>
    </row>
    <row r="176" spans="3:55">
      <c r="K176" s="694" t="s">
        <v>1964</v>
      </c>
      <c r="L176" s="694">
        <v>1336437000</v>
      </c>
      <c r="N176" s="699">
        <v>231649100</v>
      </c>
      <c r="P176" s="701">
        <v>136099600</v>
      </c>
      <c r="R176" s="440">
        <v>86</v>
      </c>
      <c r="AQ176" s="459">
        <f>SUM(AQ174:AQ175)</f>
        <v>1426.1</v>
      </c>
      <c r="AR176" s="459"/>
      <c r="AS176" s="459"/>
      <c r="AT176" s="459">
        <f t="shared" ref="AT176" si="133">SUM(AT174:AT175)</f>
        <v>13374000.000000002</v>
      </c>
      <c r="AU176" s="459"/>
    </row>
    <row r="177" spans="5:47">
      <c r="K177" s="694">
        <v>2647.53</v>
      </c>
      <c r="L177" s="751">
        <f>(K177/$K$187)*$L$176</f>
        <v>254980114.04883042</v>
      </c>
      <c r="N177" s="751">
        <f>(K177/$K$187)*$N$176</f>
        <v>44196556.91761671</v>
      </c>
      <c r="P177" s="751">
        <f>(K177/$K$187)*$P$176</f>
        <v>25966574.952654108</v>
      </c>
      <c r="R177" s="751">
        <f>(K177/$K$187)*$R$176</f>
        <v>16.408023579262931</v>
      </c>
    </row>
    <row r="178" spans="5:47">
      <c r="G178" s="441">
        <v>11325000</v>
      </c>
      <c r="H178" s="693">
        <v>6988000</v>
      </c>
      <c r="K178" s="694">
        <v>2627.62</v>
      </c>
      <c r="L178" s="751">
        <f t="shared" ref="L178:L186" si="134">(K178/$K$187)*$L$176</f>
        <v>253062608.27147859</v>
      </c>
      <c r="N178" s="751">
        <f t="shared" ref="N178:N186" si="135">(K178/$K$187)*$N$176</f>
        <v>43864189.220846601</v>
      </c>
      <c r="P178" s="751">
        <f t="shared" ref="P178:P186" si="136">(K178/$K$187)*$P$176</f>
        <v>25771300.675381575</v>
      </c>
      <c r="R178" s="751">
        <f t="shared" ref="R178:R186" si="137">(K178/$K$187)*$R$176</f>
        <v>16.284631682112334</v>
      </c>
    </row>
    <row r="179" spans="5:47">
      <c r="G179" s="441">
        <v>11551000</v>
      </c>
      <c r="H179" s="693">
        <v>7127000</v>
      </c>
      <c r="K179" s="694">
        <v>2627.62</v>
      </c>
      <c r="L179" s="751">
        <f t="shared" si="134"/>
        <v>253062608.27147859</v>
      </c>
      <c r="N179" s="751">
        <f t="shared" si="135"/>
        <v>43864189.220846601</v>
      </c>
      <c r="P179" s="751">
        <f t="shared" si="136"/>
        <v>25771300.675381575</v>
      </c>
      <c r="R179" s="751">
        <f t="shared" si="137"/>
        <v>16.284631682112334</v>
      </c>
      <c r="AR179" s="446"/>
      <c r="AS179" s="446"/>
      <c r="AT179" s="446">
        <f>ROUND(AT174*1.02,-2)</f>
        <v>9275900</v>
      </c>
      <c r="AU179" s="446"/>
    </row>
    <row r="180" spans="5:47">
      <c r="G180" s="752">
        <f>(G179-G178)/G178</f>
        <v>1.9955849889624726E-2</v>
      </c>
      <c r="H180" s="752">
        <f>(H179-H178)/H178</f>
        <v>1.9891242129364627E-2</v>
      </c>
      <c r="K180" s="694">
        <v>2627.57</v>
      </c>
      <c r="L180" s="751">
        <f t="shared" si="134"/>
        <v>253057792.83758271</v>
      </c>
      <c r="N180" s="751">
        <f t="shared" si="135"/>
        <v>43863354.545565918</v>
      </c>
      <c r="P180" s="751">
        <f t="shared" si="136"/>
        <v>25770810.282922331</v>
      </c>
      <c r="R180" s="751">
        <f t="shared" si="137"/>
        <v>16.284321807935662</v>
      </c>
      <c r="AR180" s="446"/>
      <c r="AS180" s="446"/>
      <c r="AT180" s="446">
        <f>ROUND(AT175*1.02,-2)</f>
        <v>4365500</v>
      </c>
      <c r="AU180" s="446"/>
    </row>
    <row r="181" spans="5:47">
      <c r="K181" s="694">
        <v>1516.63</v>
      </c>
      <c r="L181" s="751">
        <f t="shared" si="134"/>
        <v>146064630.19111311</v>
      </c>
      <c r="N181" s="751">
        <f t="shared" si="135"/>
        <v>25317871.41900754</v>
      </c>
      <c r="P181" s="751">
        <f t="shared" si="136"/>
        <v>14874878.309384143</v>
      </c>
      <c r="R181" s="751">
        <f t="shared" si="137"/>
        <v>9.3992894513065171</v>
      </c>
    </row>
    <row r="182" spans="5:47">
      <c r="F182" s="441">
        <v>576119500</v>
      </c>
      <c r="G182" s="441">
        <v>61644700</v>
      </c>
      <c r="H182" s="693">
        <v>34662600</v>
      </c>
      <c r="I182" s="694">
        <v>30</v>
      </c>
      <c r="K182" s="694">
        <v>338.57</v>
      </c>
      <c r="L182" s="751">
        <f t="shared" si="134"/>
        <v>32607229.082772437</v>
      </c>
      <c r="N182" s="751">
        <f t="shared" si="135"/>
        <v>5651920.1956531135</v>
      </c>
      <c r="P182" s="751">
        <f t="shared" si="136"/>
        <v>3320643.4985515182</v>
      </c>
      <c r="R182" s="751">
        <f t="shared" si="137"/>
        <v>2.0982819999135236</v>
      </c>
    </row>
    <row r="183" spans="5:47">
      <c r="E183" s="441">
        <v>958.51</v>
      </c>
      <c r="F183" s="748">
        <f>(E183/$E$185)*$F$182</f>
        <v>155308893.56086171</v>
      </c>
      <c r="G183" s="748">
        <f>(E183/$E$185)*$G$182</f>
        <v>16618028.29255259</v>
      </c>
      <c r="H183" s="748">
        <f>(E183/$E$185)*$H$182</f>
        <v>9344259.4009449873</v>
      </c>
      <c r="I183" s="748">
        <f>(E183/$E$185)*$I$182</f>
        <v>8.0873270334120804</v>
      </c>
      <c r="K183" s="694">
        <v>737.75</v>
      </c>
      <c r="L183" s="751">
        <f t="shared" si="134"/>
        <v>71051727.134168312</v>
      </c>
      <c r="N183" s="751">
        <f t="shared" si="135"/>
        <v>12315633.766556649</v>
      </c>
      <c r="P183" s="751">
        <f t="shared" si="136"/>
        <v>7235740.736203392</v>
      </c>
      <c r="R183" s="751">
        <f t="shared" si="137"/>
        <v>4.5721934767882617</v>
      </c>
    </row>
    <row r="184" spans="5:47">
      <c r="E184" s="441">
        <v>2597.09</v>
      </c>
      <c r="F184" s="748">
        <f>(E184/$E$185)*$F$182</f>
        <v>420810606.43913823</v>
      </c>
      <c r="G184" s="748">
        <f>(E184/$E$185)*$G$182</f>
        <v>45026671.70744741</v>
      </c>
      <c r="H184" s="748">
        <f>(E184/$E$185)*$H$182</f>
        <v>25318340.599055011</v>
      </c>
      <c r="I184" s="748">
        <f>(E184/$E$185)*$I$182</f>
        <v>21.912672966587916</v>
      </c>
      <c r="K184" s="694">
        <v>247.27</v>
      </c>
      <c r="L184" s="751">
        <f t="shared" si="134"/>
        <v>23814246.788838767</v>
      </c>
      <c r="N184" s="751">
        <f t="shared" si="135"/>
        <v>4127803.1331161815</v>
      </c>
      <c r="P184" s="751">
        <f t="shared" si="136"/>
        <v>2425186.8679647753</v>
      </c>
      <c r="R184" s="751">
        <f t="shared" si="137"/>
        <v>1.53245175331133</v>
      </c>
    </row>
    <row r="185" spans="5:47">
      <c r="E185" s="441">
        <f>SUM(E183:E184)</f>
        <v>3555.6000000000004</v>
      </c>
      <c r="F185" s="441">
        <f t="shared" ref="F185:H185" si="138">SUM(F183:F184)</f>
        <v>576119500</v>
      </c>
      <c r="G185" s="441">
        <f t="shared" si="138"/>
        <v>61644700</v>
      </c>
      <c r="H185" s="441">
        <f t="shared" si="138"/>
        <v>34662600</v>
      </c>
      <c r="K185" s="694">
        <v>245.63</v>
      </c>
      <c r="L185" s="751">
        <f t="shared" si="134"/>
        <v>23656300.557052881</v>
      </c>
      <c r="N185" s="751">
        <f t="shared" si="135"/>
        <v>4100425.783909603</v>
      </c>
      <c r="P185" s="751">
        <f t="shared" si="136"/>
        <v>2409101.9953014427</v>
      </c>
      <c r="R185" s="751">
        <f t="shared" si="137"/>
        <v>1.5222878803165039</v>
      </c>
    </row>
    <row r="186" spans="5:47">
      <c r="K186" s="694">
        <v>260.41000000000003</v>
      </c>
      <c r="L186" s="751">
        <f t="shared" si="134"/>
        <v>25079742.816684205</v>
      </c>
      <c r="N186" s="751">
        <f t="shared" si="135"/>
        <v>4347155.7968810806</v>
      </c>
      <c r="P186" s="751">
        <f t="shared" si="136"/>
        <v>2554062.0062551349</v>
      </c>
      <c r="R186" s="751">
        <f t="shared" si="137"/>
        <v>1.6138866869406052</v>
      </c>
    </row>
    <row r="187" spans="5:47">
      <c r="K187" s="694">
        <f>SUM(K177:K186)</f>
        <v>13876.6</v>
      </c>
      <c r="L187" s="694">
        <f>SUM(L177:L186)</f>
        <v>1336437000.0000002</v>
      </c>
      <c r="M187" s="697" t="b">
        <f>L176=L187</f>
        <v>1</v>
      </c>
      <c r="N187" s="694">
        <f>SUM(N177:N186)</f>
        <v>231649099.99999997</v>
      </c>
      <c r="O187" s="697" t="b">
        <f>N176=N187</f>
        <v>1</v>
      </c>
      <c r="P187" s="694">
        <f>SUM(P177:P186)</f>
        <v>136099599.99999997</v>
      </c>
      <c r="Q187" s="697" t="b">
        <f>P176=P187</f>
        <v>1</v>
      </c>
      <c r="R187" s="694">
        <f>SUM(R177:R186)</f>
        <v>86</v>
      </c>
      <c r="S187" s="697" t="b">
        <f>R176=R187</f>
        <v>1</v>
      </c>
    </row>
    <row r="189" spans="5:47">
      <c r="K189" s="694" t="s">
        <v>1965</v>
      </c>
      <c r="L189" s="694">
        <v>2123753000</v>
      </c>
      <c r="M189" s="697">
        <v>92586700</v>
      </c>
      <c r="N189" s="699">
        <v>64785600</v>
      </c>
      <c r="O189" s="699">
        <v>38</v>
      </c>
    </row>
    <row r="190" spans="5:47">
      <c r="K190" s="487">
        <v>2597.09</v>
      </c>
      <c r="L190" s="751">
        <f>(K190/$K$194)*$L$189</f>
        <v>942443925.55045617</v>
      </c>
      <c r="M190" s="753">
        <f>(K190/$K$194)*$M$189</f>
        <v>41086591.991518043</v>
      </c>
      <c r="N190" s="751">
        <f>(K190/$K$194)*$N$189</f>
        <v>28749480.36948818</v>
      </c>
      <c r="O190" s="751">
        <f>(K190/$K$194)*$O$189</f>
        <v>16.863010515308197</v>
      </c>
    </row>
    <row r="191" spans="5:47">
      <c r="K191" s="487">
        <v>2122.56</v>
      </c>
      <c r="L191" s="751">
        <f t="shared" ref="L191:L193" si="139">(K191/$K$194)*$L$189</f>
        <v>770244303.66925132</v>
      </c>
      <c r="M191" s="753">
        <f t="shared" ref="M191:M193" si="140">(K191/$K$194)*$M$189</f>
        <v>33579412.610851578</v>
      </c>
      <c r="N191" s="751">
        <f t="shared" ref="N191:N193" si="141">(K191/$K$194)*$N$189</f>
        <v>23496489.167899776</v>
      </c>
      <c r="O191" s="751">
        <f t="shared" ref="O191:O193" si="142">(K191/$K$194)*$O$189</f>
        <v>13.781868013573872</v>
      </c>
    </row>
    <row r="192" spans="5:47">
      <c r="K192" s="487">
        <v>625.72</v>
      </c>
      <c r="L192" s="751">
        <f t="shared" si="139"/>
        <v>227064142.21125621</v>
      </c>
      <c r="M192" s="753">
        <f t="shared" si="140"/>
        <v>9899041.7509338018</v>
      </c>
      <c r="N192" s="751">
        <f t="shared" si="141"/>
        <v>6926646.6917958725</v>
      </c>
      <c r="O192" s="751">
        <f t="shared" si="142"/>
        <v>4.0628252927848649</v>
      </c>
    </row>
    <row r="193" spans="11:21">
      <c r="K193" s="487">
        <v>507.05</v>
      </c>
      <c r="L193" s="751">
        <f t="shared" si="139"/>
        <v>184000628.56903639</v>
      </c>
      <c r="M193" s="753">
        <f t="shared" si="140"/>
        <v>8021653.6466965806</v>
      </c>
      <c r="N193" s="751">
        <f t="shared" si="141"/>
        <v>5612983.7708161753</v>
      </c>
      <c r="O193" s="751">
        <f t="shared" si="142"/>
        <v>3.2922961783330655</v>
      </c>
    </row>
    <row r="194" spans="11:21">
      <c r="K194" s="694">
        <f>SUM(K190:K193)</f>
        <v>5852.42</v>
      </c>
      <c r="L194" s="694">
        <f>SUM(L190:L193)</f>
        <v>2123753000.0000002</v>
      </c>
      <c r="M194" s="694">
        <f t="shared" ref="M194:N194" si="143">SUM(M190:M193)</f>
        <v>92586700</v>
      </c>
      <c r="N194" s="694">
        <f t="shared" si="143"/>
        <v>64785600</v>
      </c>
    </row>
    <row r="195" spans="11:21">
      <c r="L195" s="694" t="b">
        <f>L189=L194</f>
        <v>1</v>
      </c>
      <c r="M195" s="694" t="b">
        <f>M189=M194</f>
        <v>1</v>
      </c>
    </row>
    <row r="196" spans="11:21">
      <c r="K196" s="694" t="s">
        <v>1966</v>
      </c>
      <c r="M196" s="1840">
        <f>N204</f>
        <v>25553200</v>
      </c>
      <c r="N196" s="1841">
        <f>O204</f>
        <v>13914310</v>
      </c>
    </row>
    <row r="197" spans="11:21">
      <c r="K197" s="487">
        <v>969.72</v>
      </c>
      <c r="M197" s="1842">
        <f>(K197/$K$199)*$M$196</f>
        <v>17375674.289320525</v>
      </c>
      <c r="N197" s="1842">
        <f>(K197/$K$199)*$N$196</f>
        <v>9461457.6068999376</v>
      </c>
    </row>
    <row r="198" spans="11:21">
      <c r="K198" s="487">
        <v>456.38</v>
      </c>
      <c r="M198" s="1842">
        <f>(K198/$K$199)*$M$196</f>
        <v>8177525.7106794761</v>
      </c>
      <c r="N198" s="1842">
        <f>(K198/$K$199)*$N$196</f>
        <v>4452852.3931000633</v>
      </c>
    </row>
    <row r="199" spans="11:21">
      <c r="K199" s="694">
        <f>SUM(K197:K198)</f>
        <v>1426.1</v>
      </c>
      <c r="L199" s="694">
        <f t="shared" ref="L199:N199" si="144">SUM(L197:L198)</f>
        <v>0</v>
      </c>
      <c r="M199" s="1843">
        <f t="shared" si="144"/>
        <v>25553200</v>
      </c>
      <c r="N199" s="1843">
        <f t="shared" si="144"/>
        <v>13914310</v>
      </c>
    </row>
    <row r="201" spans="11:21">
      <c r="K201" s="487">
        <v>2069.4</v>
      </c>
    </row>
    <row r="202" spans="11:21">
      <c r="N202" s="1844">
        <v>24561000</v>
      </c>
      <c r="O202" s="1844">
        <v>13374000</v>
      </c>
      <c r="P202" s="446">
        <v>58990100</v>
      </c>
      <c r="Q202" s="446">
        <v>32992000</v>
      </c>
      <c r="R202" s="457">
        <v>0.02</v>
      </c>
      <c r="S202" s="450">
        <f>P202-N202</f>
        <v>34429100</v>
      </c>
      <c r="T202" s="450">
        <f>Q202-O202</f>
        <v>19618000</v>
      </c>
    </row>
    <row r="203" spans="11:21">
      <c r="N203" s="446">
        <f>ROUND(N202*(1+$R$202),-2)</f>
        <v>25052200</v>
      </c>
      <c r="O203" s="446">
        <f>ROUND(O202*(1+$R$202),)</f>
        <v>13641480</v>
      </c>
      <c r="P203" s="446">
        <f>ROUND(P202*(1+$R$202),-2)</f>
        <v>60169900</v>
      </c>
      <c r="Q203" s="446">
        <f>ROUND(Q202*(1+$R$202),)</f>
        <v>33651840</v>
      </c>
      <c r="S203" s="450">
        <f t="shared" ref="S203:T204" si="145">P203-N203</f>
        <v>35117700</v>
      </c>
      <c r="T203" s="450">
        <f t="shared" si="145"/>
        <v>20010360</v>
      </c>
      <c r="U203" s="709">
        <f>(T203-T202)/T202</f>
        <v>0.02</v>
      </c>
    </row>
    <row r="204" spans="11:21">
      <c r="N204" s="446">
        <f>ROUND(N203*(1+$R$202),-2)</f>
        <v>25553200</v>
      </c>
      <c r="O204" s="446">
        <f>ROUND(O203*(1+$R$202),)</f>
        <v>13914310</v>
      </c>
      <c r="P204" s="446">
        <f>ROUND(P203*(1+$R$202),-2)</f>
        <v>61373300</v>
      </c>
      <c r="Q204" s="446">
        <f>ROUND(Q203*(1+$R$202),)</f>
        <v>34324877</v>
      </c>
      <c r="S204" s="450">
        <f t="shared" si="145"/>
        <v>35820100</v>
      </c>
      <c r="T204" s="450">
        <f t="shared" si="145"/>
        <v>20410567</v>
      </c>
      <c r="U204" s="709">
        <f>(T204-T203)/T203</f>
        <v>1.9999990005177319E-2</v>
      </c>
    </row>
  </sheetData>
  <mergeCells count="104">
    <mergeCell ref="C9:C12"/>
    <mergeCell ref="D9:D12"/>
    <mergeCell ref="E9:E12"/>
    <mergeCell ref="F9:F12"/>
    <mergeCell ref="G9:G12"/>
    <mergeCell ref="BK9:BK12"/>
    <mergeCell ref="BN9:BN12"/>
    <mergeCell ref="H10:H12"/>
    <mergeCell ref="I10:I12"/>
    <mergeCell ref="J10:J12"/>
    <mergeCell ref="K10:K12"/>
    <mergeCell ref="L10:L12"/>
    <mergeCell ref="M10:M12"/>
    <mergeCell ref="N10:N12"/>
    <mergeCell ref="O10:O12"/>
    <mergeCell ref="P10:P12"/>
    <mergeCell ref="Q10:Q12"/>
    <mergeCell ref="R10:R12"/>
    <mergeCell ref="S10:S12"/>
    <mergeCell ref="T10:T12"/>
    <mergeCell ref="U10:U12"/>
    <mergeCell ref="V10:V12"/>
    <mergeCell ref="W10:W12"/>
    <mergeCell ref="X10:X12"/>
    <mergeCell ref="AK10:AK12"/>
    <mergeCell ref="AL10:AL11"/>
    <mergeCell ref="AT10:AT12"/>
    <mergeCell ref="AU10:AU12"/>
    <mergeCell ref="AX10:AX12"/>
    <mergeCell ref="AY10:AY12"/>
    <mergeCell ref="Y10:Y12"/>
    <mergeCell ref="Z10:Z12"/>
    <mergeCell ref="AA10:AA12"/>
    <mergeCell ref="AB10:AB12"/>
    <mergeCell ref="AC10:AC12"/>
    <mergeCell ref="AD10:AD12"/>
    <mergeCell ref="AE10:AE12"/>
    <mergeCell ref="AF10:AF12"/>
    <mergeCell ref="AG10:AG12"/>
    <mergeCell ref="BI10:BI12"/>
    <mergeCell ref="BJ10:BJ12"/>
    <mergeCell ref="BL10:BL12"/>
    <mergeCell ref="BM10:BM12"/>
    <mergeCell ref="AR11:AR12"/>
    <mergeCell ref="AS11:AS12"/>
    <mergeCell ref="AV11:AV12"/>
    <mergeCell ref="AW11:AW12"/>
    <mergeCell ref="C13:C36"/>
    <mergeCell ref="D19:D20"/>
    <mergeCell ref="D21:D25"/>
    <mergeCell ref="D26:D30"/>
    <mergeCell ref="AZ10:AZ12"/>
    <mergeCell ref="BA10:BA12"/>
    <mergeCell ref="BB10:BB12"/>
    <mergeCell ref="BC10:BC12"/>
    <mergeCell ref="BD10:BD12"/>
    <mergeCell ref="BE10:BE12"/>
    <mergeCell ref="BF10:BF12"/>
    <mergeCell ref="BG10:BG12"/>
    <mergeCell ref="BH10:BH12"/>
    <mergeCell ref="AH10:AH12"/>
    <mergeCell ref="AI10:AI12"/>
    <mergeCell ref="AJ10:AJ12"/>
    <mergeCell ref="C37:C65"/>
    <mergeCell ref="D37:D39"/>
    <mergeCell ref="D42:D47"/>
    <mergeCell ref="D48:D49"/>
    <mergeCell ref="D50:D53"/>
    <mergeCell ref="D55:D56"/>
    <mergeCell ref="D58:D62"/>
    <mergeCell ref="C66:C107"/>
    <mergeCell ref="D68:D69"/>
    <mergeCell ref="D74:D75"/>
    <mergeCell ref="D76:D81"/>
    <mergeCell ref="D82:D88"/>
    <mergeCell ref="D89:D93"/>
    <mergeCell ref="D94:D96"/>
    <mergeCell ref="D97:D98"/>
    <mergeCell ref="D100:D101"/>
    <mergeCell ref="D103:D104"/>
    <mergeCell ref="C111:C114"/>
    <mergeCell ref="C119:C121"/>
    <mergeCell ref="D119:D121"/>
    <mergeCell ref="E119:E121"/>
    <mergeCell ref="F119:G121"/>
    <mergeCell ref="N119:N121"/>
    <mergeCell ref="O119:O121"/>
    <mergeCell ref="P119:P121"/>
    <mergeCell ref="Q119:Q121"/>
    <mergeCell ref="AZ120:AZ121"/>
    <mergeCell ref="BA120:BA121"/>
    <mergeCell ref="BB120:BB121"/>
    <mergeCell ref="BC120:BC121"/>
    <mergeCell ref="F145:G145"/>
    <mergeCell ref="F146:G146"/>
    <mergeCell ref="R119:R121"/>
    <mergeCell ref="S119:S121"/>
    <mergeCell ref="AH119:AJ120"/>
    <mergeCell ref="AF120:AF121"/>
    <mergeCell ref="AG120:AG121"/>
    <mergeCell ref="AV120:AV121"/>
    <mergeCell ref="AW120:AW121"/>
    <mergeCell ref="AX120:AX121"/>
    <mergeCell ref="AY120:AY121"/>
  </mergeCells>
  <phoneticPr fontId="6" type="noConversion"/>
  <conditionalFormatting sqref="AG38:AH38">
    <cfRule type="cellIs" dxfId="162" priority="127" operator="equal">
      <formula>0</formula>
    </cfRule>
  </conditionalFormatting>
  <conditionalFormatting sqref="AJ64">
    <cfRule type="cellIs" dxfId="161" priority="126" operator="equal">
      <formula>0</formula>
    </cfRule>
  </conditionalFormatting>
  <conditionalFormatting sqref="U64:V64 AI64 Z64:AE64 AG64">
    <cfRule type="cellIs" dxfId="160" priority="125" operator="equal">
      <formula>0</formula>
    </cfRule>
  </conditionalFormatting>
  <conditionalFormatting sqref="AJ87">
    <cfRule type="cellIs" dxfId="159" priority="124" operator="equal">
      <formula>0</formula>
    </cfRule>
  </conditionalFormatting>
  <conditionalFormatting sqref="AJ41">
    <cfRule type="cellIs" dxfId="158" priority="123" operator="equal">
      <formula>0</formula>
    </cfRule>
  </conditionalFormatting>
  <conditionalFormatting sqref="U46:V47">
    <cfRule type="cellIs" dxfId="157" priority="122" operator="equal">
      <formula>0</formula>
    </cfRule>
  </conditionalFormatting>
  <conditionalFormatting sqref="U50:V50 AH50:AI50 Z50:AE50">
    <cfRule type="cellIs" dxfId="156" priority="121" operator="equal">
      <formula>0</formula>
    </cfRule>
  </conditionalFormatting>
  <conditionalFormatting sqref="AJ28">
    <cfRule type="cellIs" dxfId="155" priority="120" operator="equal">
      <formula>0</formula>
    </cfRule>
  </conditionalFormatting>
  <conditionalFormatting sqref="AG92">
    <cfRule type="cellIs" dxfId="154" priority="119" operator="equal">
      <formula>0</formula>
    </cfRule>
  </conditionalFormatting>
  <conditionalFormatting sqref="AC25">
    <cfRule type="cellIs" dxfId="153" priority="117" operator="equal">
      <formula>0</formula>
    </cfRule>
  </conditionalFormatting>
  <conditionalFormatting sqref="AE25">
    <cfRule type="cellIs" dxfId="152" priority="116" operator="equal">
      <formula>0</formula>
    </cfRule>
  </conditionalFormatting>
  <conditionalFormatting sqref="U25:V25">
    <cfRule type="cellIs" dxfId="151" priority="118" operator="equal">
      <formula>0</formula>
    </cfRule>
  </conditionalFormatting>
  <conditionalFormatting sqref="W41:Y41 W67:X67 W25:Y25 X33 X51:Y52 X26:Y26 W63:X63 X18:X20 X44:Y44 W42:W43 W61 X75:Y75 W54 W49:W52 W70:Y71 W73:X73 W91:W92 X68 W58:Y58 Y18:Y24 X31:Y32 W69 X64:Y64 W32:W40 W21:X24">
    <cfRule type="cellIs" dxfId="150" priority="87" operator="equal">
      <formula>0</formula>
    </cfRule>
  </conditionalFormatting>
  <conditionalFormatting sqref="X81 X48:Y48 X28:Y30">
    <cfRule type="cellIs" dxfId="149" priority="86" operator="equal">
      <formula>0</formula>
    </cfRule>
  </conditionalFormatting>
  <conditionalFormatting sqref="X76 W77:W78">
    <cfRule type="cellIs" dxfId="148" priority="85" operator="equal">
      <formula>0</formula>
    </cfRule>
  </conditionalFormatting>
  <conditionalFormatting sqref="W62:X62">
    <cfRule type="cellIs" dxfId="147" priority="84" operator="equal">
      <formula>0</formula>
    </cfRule>
  </conditionalFormatting>
  <conditionalFormatting sqref="U42:V42 Z42:AE42 AG43 AG42:AI42">
    <cfRule type="cellIs" dxfId="146" priority="115" operator="equal">
      <formula>0</formula>
    </cfRule>
  </conditionalFormatting>
  <conditionalFormatting sqref="W65:X65">
    <cfRule type="cellIs" dxfId="145" priority="82" operator="equal">
      <formula>0</formula>
    </cfRule>
  </conditionalFormatting>
  <conditionalFormatting sqref="AJ42">
    <cfRule type="cellIs" dxfId="144" priority="114" operator="equal">
      <formula>0</formula>
    </cfRule>
  </conditionalFormatting>
  <conditionalFormatting sqref="U38:V38 Z38:AE38">
    <cfRule type="cellIs" dxfId="143" priority="113" operator="equal">
      <formula>0</formula>
    </cfRule>
  </conditionalFormatting>
  <conditionalFormatting sqref="AI38">
    <cfRule type="cellIs" dxfId="142" priority="112" operator="equal">
      <formula>0</formula>
    </cfRule>
  </conditionalFormatting>
  <conditionalFormatting sqref="AJ37">
    <cfRule type="cellIs" dxfId="141" priority="111" operator="equal">
      <formula>0</formula>
    </cfRule>
  </conditionalFormatting>
  <conditionalFormatting sqref="Z37 AH37:AI37">
    <cfRule type="cellIs" dxfId="140" priority="110" operator="equal">
      <formula>0</formula>
    </cfRule>
  </conditionalFormatting>
  <conditionalFormatting sqref="U49:V49 Z49:AE49">
    <cfRule type="cellIs" dxfId="139" priority="109" operator="equal">
      <formula>0</formula>
    </cfRule>
  </conditionalFormatting>
  <conditionalFormatting sqref="AG49">
    <cfRule type="cellIs" dxfId="138" priority="108" operator="equal">
      <formula>0</formula>
    </cfRule>
  </conditionalFormatting>
  <conditionalFormatting sqref="AI49">
    <cfRule type="cellIs" dxfId="137" priority="107" operator="equal">
      <formula>0</formula>
    </cfRule>
  </conditionalFormatting>
  <conditionalFormatting sqref="Z28 AH28">
    <cfRule type="cellIs" dxfId="136" priority="106" operator="equal">
      <formula>0</formula>
    </cfRule>
  </conditionalFormatting>
  <conditionalFormatting sqref="AG57">
    <cfRule type="cellIs" dxfId="135" priority="101" operator="equal">
      <formula>0</formula>
    </cfRule>
  </conditionalFormatting>
  <conditionalFormatting sqref="AG62">
    <cfRule type="cellIs" dxfId="134" priority="104" operator="equal">
      <formula>0</formula>
    </cfRule>
  </conditionalFormatting>
  <conditionalFormatting sqref="AG28">
    <cfRule type="cellIs" dxfId="133" priority="103" operator="equal">
      <formula>0</formula>
    </cfRule>
  </conditionalFormatting>
  <conditionalFormatting sqref="U57:V57 AH57:AI57 Z57:AE57">
    <cfRule type="cellIs" dxfId="132" priority="102" operator="equal">
      <formula>0</formula>
    </cfRule>
  </conditionalFormatting>
  <conditionalFormatting sqref="AB79">
    <cfRule type="cellIs" dxfId="131" priority="100" operator="equal">
      <formula>0</formula>
    </cfRule>
  </conditionalFormatting>
  <conditionalFormatting sqref="AH64">
    <cfRule type="cellIs" dxfId="130" priority="99" operator="equal">
      <formula>0</formula>
    </cfRule>
  </conditionalFormatting>
  <conditionalFormatting sqref="AJ16 U16:V17 AH16:AH17 Z16:AB17">
    <cfRule type="cellIs" dxfId="129" priority="98" operator="equal">
      <formula>0</formula>
    </cfRule>
  </conditionalFormatting>
  <conditionalFormatting sqref="Y46:Y47 W46">
    <cfRule type="cellIs" dxfId="128" priority="71" operator="equal">
      <formula>0</formula>
    </cfRule>
  </conditionalFormatting>
  <conditionalFormatting sqref="AC16:AE17 AG16:AG17">
    <cfRule type="cellIs" dxfId="127" priority="97" operator="equal">
      <formula>0</formula>
    </cfRule>
  </conditionalFormatting>
  <conditionalFormatting sqref="AJ17">
    <cfRule type="cellIs" dxfId="126" priority="96" operator="equal">
      <formula>0</formula>
    </cfRule>
  </conditionalFormatting>
  <conditionalFormatting sqref="Z74:AE74 AH74:AJ74">
    <cfRule type="cellIs" dxfId="125" priority="95" operator="equal">
      <formula>0</formula>
    </cfRule>
  </conditionalFormatting>
  <conditionalFormatting sqref="U74:V74">
    <cfRule type="cellIs" dxfId="124" priority="94" operator="equal">
      <formula>0</formula>
    </cfRule>
  </conditionalFormatting>
  <conditionalFormatting sqref="W26">
    <cfRule type="cellIs" dxfId="123" priority="66" operator="equal">
      <formula>0</formula>
    </cfRule>
  </conditionalFormatting>
  <conditionalFormatting sqref="W8:W15 W18:W20">
    <cfRule type="cellIs" dxfId="122" priority="67" operator="equal">
      <formula>0</formula>
    </cfRule>
  </conditionalFormatting>
  <conditionalFormatting sqref="AG74">
    <cfRule type="cellIs" dxfId="121" priority="93" operator="equal">
      <formula>0</formula>
    </cfRule>
  </conditionalFormatting>
  <conditionalFormatting sqref="U43:V43">
    <cfRule type="cellIs" dxfId="120" priority="92" operator="equal">
      <formula>0</formula>
    </cfRule>
  </conditionalFormatting>
  <conditionalFormatting sqref="AC43:AE43">
    <cfRule type="cellIs" dxfId="119" priority="91" operator="equal">
      <formula>0</formula>
    </cfRule>
  </conditionalFormatting>
  <conditionalFormatting sqref="W80:Y80">
    <cfRule type="cellIs" dxfId="118" priority="63" operator="equal">
      <formula>0</formula>
    </cfRule>
  </conditionalFormatting>
  <conditionalFormatting sqref="W82:Y82">
    <cfRule type="cellIs" dxfId="117" priority="62" operator="equal">
      <formula>0</formula>
    </cfRule>
  </conditionalFormatting>
  <conditionalFormatting sqref="AH43">
    <cfRule type="cellIs" dxfId="116" priority="90" operator="equal">
      <formula>0</formula>
    </cfRule>
  </conditionalFormatting>
  <conditionalFormatting sqref="AI43">
    <cfRule type="cellIs" dxfId="115" priority="89" operator="equal">
      <formula>0</formula>
    </cfRule>
  </conditionalFormatting>
  <conditionalFormatting sqref="AJ43">
    <cfRule type="cellIs" dxfId="114" priority="88" operator="equal">
      <formula>0</formula>
    </cfRule>
  </conditionalFormatting>
  <conditionalFormatting sqref="W16:W17">
    <cfRule type="cellIs" dxfId="113" priority="61" operator="equal">
      <formula>0</formula>
    </cfRule>
  </conditionalFormatting>
  <conditionalFormatting sqref="X34">
    <cfRule type="cellIs" dxfId="112" priority="60" operator="equal">
      <formula>0</formula>
    </cfRule>
  </conditionalFormatting>
  <conditionalFormatting sqref="AB40">
    <cfRule type="cellIs" dxfId="111" priority="129" operator="equal">
      <formula>0</formula>
    </cfRule>
  </conditionalFormatting>
  <conditionalFormatting sqref="AG39">
    <cfRule type="cellIs" dxfId="110" priority="128" operator="equal">
      <formula>0</formula>
    </cfRule>
  </conditionalFormatting>
  <conditionalFormatting sqref="Y34">
    <cfRule type="cellIs" dxfId="109" priority="59" operator="equal">
      <formula>0</formula>
    </cfRule>
  </conditionalFormatting>
  <conditionalFormatting sqref="Y35">
    <cfRule type="cellIs" dxfId="108" priority="57" operator="equal">
      <formula>0</formula>
    </cfRule>
  </conditionalFormatting>
  <conditionalFormatting sqref="AJ40">
    <cfRule type="cellIs" dxfId="107" priority="132" operator="equal">
      <formula>0</formula>
    </cfRule>
  </conditionalFormatting>
  <conditionalFormatting sqref="Z40:AA40 AC40:AE40 AG40:AI40">
    <cfRule type="cellIs" dxfId="106" priority="131" operator="equal">
      <formula>0</formula>
    </cfRule>
  </conditionalFormatting>
  <conditionalFormatting sqref="U40:V40">
    <cfRule type="cellIs" dxfId="105" priority="130" operator="equal">
      <formula>0</formula>
    </cfRule>
  </conditionalFormatting>
  <conditionalFormatting sqref="AJ65">
    <cfRule type="cellIs" dxfId="104" priority="134" operator="equal">
      <formula>0</formula>
    </cfRule>
  </conditionalFormatting>
  <conditionalFormatting sqref="U65:V65 Z65:AE65 AG65:AI65">
    <cfRule type="cellIs" dxfId="103" priority="133" operator="equal">
      <formula>0</formula>
    </cfRule>
  </conditionalFormatting>
  <conditionalFormatting sqref="AJ62">
    <cfRule type="cellIs" dxfId="102" priority="147" operator="equal">
      <formula>0</formula>
    </cfRule>
  </conditionalFormatting>
  <conditionalFormatting sqref="AB88">
    <cfRule type="cellIs" dxfId="101" priority="146" operator="equal">
      <formula>0</formula>
    </cfRule>
  </conditionalFormatting>
  <conditionalFormatting sqref="AB89">
    <cfRule type="cellIs" dxfId="100" priority="145" operator="equal">
      <formula>0</formula>
    </cfRule>
  </conditionalFormatting>
  <conditionalFormatting sqref="AJ39">
    <cfRule type="cellIs" dxfId="99" priority="144" operator="equal">
      <formula>0</formula>
    </cfRule>
  </conditionalFormatting>
  <conditionalFormatting sqref="U39:V39 Z39:AE39">
    <cfRule type="cellIs" dxfId="98" priority="143" operator="equal">
      <formula>0</formula>
    </cfRule>
  </conditionalFormatting>
  <conditionalFormatting sqref="U59:V60 Z59:AE60 AG59:AI60">
    <cfRule type="cellIs" dxfId="97" priority="142" operator="equal">
      <formula>0</formula>
    </cfRule>
  </conditionalFormatting>
  <conditionalFormatting sqref="U66:V66 Z66:AE66 AI66:AJ66 AG66">
    <cfRule type="cellIs" dxfId="96" priority="141" operator="equal">
      <formula>0</formula>
    </cfRule>
  </conditionalFormatting>
  <conditionalFormatting sqref="U67:V67">
    <cfRule type="cellIs" dxfId="95" priority="140" operator="equal">
      <formula>0</formula>
    </cfRule>
  </conditionalFormatting>
  <conditionalFormatting sqref="AB67">
    <cfRule type="cellIs" dxfId="94" priority="139" operator="equal">
      <formula>0</formula>
    </cfRule>
  </conditionalFormatting>
  <conditionalFormatting sqref="AG67">
    <cfRule type="cellIs" dxfId="93" priority="138" operator="equal">
      <formula>0</formula>
    </cfRule>
  </conditionalFormatting>
  <conditionalFormatting sqref="Z43:AB43">
    <cfRule type="cellIs" dxfId="92" priority="137" operator="equal">
      <formula>0</formula>
    </cfRule>
  </conditionalFormatting>
  <conditionalFormatting sqref="AH39:AI39">
    <cfRule type="cellIs" dxfId="91" priority="136" operator="equal">
      <formula>0</formula>
    </cfRule>
  </conditionalFormatting>
  <conditionalFormatting sqref="AI13">
    <cfRule type="cellIs" dxfId="90" priority="135" operator="equal">
      <formula>0</formula>
    </cfRule>
  </conditionalFormatting>
  <conditionalFormatting sqref="X39:Y39">
    <cfRule type="cellIs" dxfId="89" priority="83" operator="equal">
      <formula>0</formula>
    </cfRule>
  </conditionalFormatting>
  <conditionalFormatting sqref="X40:Y40">
    <cfRule type="cellIs" dxfId="88" priority="81" operator="equal">
      <formula>0</formula>
    </cfRule>
  </conditionalFormatting>
  <conditionalFormatting sqref="AH14 AJ14 U14:V14 AA14:AB14">
    <cfRule type="cellIs" dxfId="87" priority="105" operator="equal">
      <formula>0</formula>
    </cfRule>
  </conditionalFormatting>
  <conditionalFormatting sqref="AA55:AB56">
    <cfRule type="cellIs" dxfId="86" priority="150" operator="equal">
      <formula>0</formula>
    </cfRule>
  </conditionalFormatting>
  <conditionalFormatting sqref="U76:V76 Z76:AE76 AG76:AJ76">
    <cfRule type="cellIs" dxfId="85" priority="149" operator="equal">
      <formula>0</formula>
    </cfRule>
  </conditionalFormatting>
  <conditionalFormatting sqref="U62:V62 Z62:AE62 AH62:AI62">
    <cfRule type="cellIs" dxfId="84" priority="148" operator="equal">
      <formula>0</formula>
    </cfRule>
  </conditionalFormatting>
  <conditionalFormatting sqref="Z29">
    <cfRule type="cellIs" dxfId="83" priority="152" operator="equal">
      <formula>0</formula>
    </cfRule>
  </conditionalFormatting>
  <conditionalFormatting sqref="AH56:AJ56 U55:V55 Z55:Z56 AC55:AE56 AG55:AJ55">
    <cfRule type="cellIs" dxfId="82" priority="151" operator="equal">
      <formula>0</formula>
    </cfRule>
  </conditionalFormatting>
  <conditionalFormatting sqref="Y65">
    <cfRule type="cellIs" dxfId="81" priority="75" operator="equal">
      <formula>0</formula>
    </cfRule>
  </conditionalFormatting>
  <conditionalFormatting sqref="Y73">
    <cfRule type="cellIs" dxfId="80" priority="74" operator="equal">
      <formula>0</formula>
    </cfRule>
  </conditionalFormatting>
  <conditionalFormatting sqref="Y76">
    <cfRule type="cellIs" dxfId="79" priority="73" operator="equal">
      <formula>0</formula>
    </cfRule>
  </conditionalFormatting>
  <conditionalFormatting sqref="Y81">
    <cfRule type="cellIs" dxfId="78" priority="72" operator="equal">
      <formula>0</formula>
    </cfRule>
  </conditionalFormatting>
  <conditionalFormatting sqref="X66:Y66">
    <cfRule type="cellIs" dxfId="77" priority="70" operator="equal">
      <formula>0</formula>
    </cfRule>
  </conditionalFormatting>
  <conditionalFormatting sqref="X42:Y42">
    <cfRule type="cellIs" dxfId="76" priority="69" operator="equal">
      <formula>0</formula>
    </cfRule>
  </conditionalFormatting>
  <conditionalFormatting sqref="X38:Y38">
    <cfRule type="cellIs" dxfId="75" priority="68" operator="equal">
      <formula>0</formula>
    </cfRule>
  </conditionalFormatting>
  <conditionalFormatting sqref="X57:Y57">
    <cfRule type="cellIs" dxfId="74" priority="65" operator="equal">
      <formula>0</formula>
    </cfRule>
  </conditionalFormatting>
  <conditionalFormatting sqref="X43:Y43">
    <cfRule type="cellIs" dxfId="73" priority="64" operator="equal">
      <formula>0</formula>
    </cfRule>
  </conditionalFormatting>
  <conditionalFormatting sqref="X35">
    <cfRule type="cellIs" dxfId="72" priority="58" operator="equal">
      <formula>0</formula>
    </cfRule>
  </conditionalFormatting>
  <conditionalFormatting sqref="X36">
    <cfRule type="cellIs" dxfId="71" priority="56" operator="equal">
      <formula>0</formula>
    </cfRule>
  </conditionalFormatting>
  <conditionalFormatting sqref="Y36">
    <cfRule type="cellIs" dxfId="70" priority="55" operator="equal">
      <formula>0</formula>
    </cfRule>
  </conditionalFormatting>
  <conditionalFormatting sqref="X37">
    <cfRule type="cellIs" dxfId="69" priority="54" operator="equal">
      <formula>0</formula>
    </cfRule>
  </conditionalFormatting>
  <conditionalFormatting sqref="Y37">
    <cfRule type="cellIs" dxfId="68" priority="53" operator="equal">
      <formula>0</formula>
    </cfRule>
  </conditionalFormatting>
  <conditionalFormatting sqref="X61">
    <cfRule type="cellIs" dxfId="67" priority="52" operator="equal">
      <formula>0</formula>
    </cfRule>
  </conditionalFormatting>
  <conditionalFormatting sqref="Y61">
    <cfRule type="cellIs" dxfId="66" priority="51" operator="equal">
      <formula>0</formula>
    </cfRule>
  </conditionalFormatting>
  <conditionalFormatting sqref="Y67:Y68">
    <cfRule type="cellIs" dxfId="65" priority="76" operator="equal">
      <formula>0</formula>
    </cfRule>
  </conditionalFormatting>
  <conditionalFormatting sqref="Y63">
    <cfRule type="cellIs" dxfId="64" priority="78" operator="equal">
      <formula>0</formula>
    </cfRule>
  </conditionalFormatting>
  <conditionalFormatting sqref="Y62">
    <cfRule type="cellIs" dxfId="63" priority="77" operator="equal">
      <formula>0</formula>
    </cfRule>
  </conditionalFormatting>
  <conditionalFormatting sqref="Y33">
    <cfRule type="cellIs" dxfId="62" priority="79" operator="equal">
      <formula>0</formula>
    </cfRule>
  </conditionalFormatting>
  <conditionalFormatting sqref="X64:Y64">
    <cfRule type="cellIs" dxfId="61" priority="80" operator="equal">
      <formula>0</formula>
    </cfRule>
  </conditionalFormatting>
  <conditionalFormatting sqref="AE88 AG88:AI88 AC88">
    <cfRule type="cellIs" dxfId="60" priority="154" operator="equal">
      <formula>0</formula>
    </cfRule>
  </conditionalFormatting>
  <conditionalFormatting sqref="AJ90">
    <cfRule type="cellIs" dxfId="59" priority="153" operator="equal">
      <formula>0</formula>
    </cfRule>
  </conditionalFormatting>
  <conditionalFormatting sqref="Z81 AC9:AE15 U48:V48 U28:V30 Z30:AE30 AI28 AG9:AG15 U81:U82">
    <cfRule type="cellIs" dxfId="58" priority="157" operator="equal">
      <formula>0</formula>
    </cfRule>
  </conditionalFormatting>
  <conditionalFormatting sqref="AA81">
    <cfRule type="cellIs" dxfId="57" priority="156" operator="equal">
      <formula>0</formula>
    </cfRule>
  </conditionalFormatting>
  <conditionalFormatting sqref="AJ86">
    <cfRule type="cellIs" dxfId="56" priority="155" operator="equal">
      <formula>0</formula>
    </cfRule>
  </conditionalFormatting>
  <conditionalFormatting sqref="AJ22:AJ23 AH34:AJ35 AH19:AJ20 U21:V21 AG81 AH9:AH13 AH47:AI47 U8:V13 U61:V61 AJ59:AJ60 AC67:AE67 AH67:AJ67 AJ9:AJ13 AI9:AI12 AJ25 U24:V24 AH24:AJ24 Z24:AE24 Z9:AB13 Z18:AE21 Z22:AB23 U41:V41 Z61:AE61 Z67:AA67 U68:V73 U51:V52 AH49 AH15 AJ15 AA15:AB15 U15:V15 Z14:Z15 U26:V27 Z26:AE26 Z25:AB25 U36:V37 AA37:AE37 Z8:AE8 U58:V58 Z31:AE36 Z27 AC27:AE27 AA28:AE29 AG37 AJ57 AI64 AH66 AH25 U18:V18 U44:V44 Z58:AE58 U63:V64 Z44:AE44 Z63:AE64 Z41:AE41 U31:V33 Z46:AE48 AJ46:AJ47 U75:V75 Z75:AC75 AG75 Z54:AE54 U54:V54 AG54:AJ54 AG46:AI46 AG41:AI41 AG68:AJ73 AG64 AG44:AJ44 AG51:AJ52 AG58:AJ58 AG31:AJ33 AG8:AJ8 AG63:AJ63 AG26:AJ27 AG61:AJ61 AG36:AJ36 AG21:AJ21 AG18:AJ18 AG48:AJ48 Z68:AE73 Z51:AE52">
    <cfRule type="cellIs" dxfId="55" priority="159" operator="equal">
      <formula>0</formula>
    </cfRule>
  </conditionalFormatting>
  <conditionalFormatting sqref="AG90:AG91">
    <cfRule type="cellIs" dxfId="54" priority="158" operator="equal">
      <formula>0</formula>
    </cfRule>
  </conditionalFormatting>
  <conditionalFormatting sqref="X47">
    <cfRule type="cellIs" dxfId="53" priority="50" operator="equal">
      <formula>0</formula>
    </cfRule>
  </conditionalFormatting>
  <conditionalFormatting sqref="X46">
    <cfRule type="cellIs" dxfId="52" priority="48" operator="equal">
      <formula>0</formula>
    </cfRule>
  </conditionalFormatting>
  <conditionalFormatting sqref="W47">
    <cfRule type="cellIs" dxfId="51" priority="49" operator="equal">
      <formula>0</formula>
    </cfRule>
  </conditionalFormatting>
  <conditionalFormatting sqref="U45:V45 Z45:AE45 AG45:AJ45">
    <cfRule type="cellIs" dxfId="50" priority="47" operator="equal">
      <formula>0</formula>
    </cfRule>
  </conditionalFormatting>
  <conditionalFormatting sqref="X45:Y45">
    <cfRule type="cellIs" dxfId="49" priority="46" operator="equal">
      <formula>0</formula>
    </cfRule>
  </conditionalFormatting>
  <conditionalFormatting sqref="X88">
    <cfRule type="cellIs" dxfId="48" priority="45" operator="equal">
      <formula>0</formula>
    </cfRule>
  </conditionalFormatting>
  <conditionalFormatting sqref="AD75:AE75">
    <cfRule type="cellIs" dxfId="47" priority="44" operator="equal">
      <formula>0</formula>
    </cfRule>
  </conditionalFormatting>
  <conditionalFormatting sqref="AE82">
    <cfRule type="cellIs" dxfId="46" priority="32" operator="equal">
      <formula>0</formula>
    </cfRule>
  </conditionalFormatting>
  <conditionalFormatting sqref="AF81 AF48 AF18 AF21 AF36 AF61 AF8 AF31:AF33 AF26:AF27 AF58 AF51:AF52 AF44 AF63:AF64 AF67:AF73 AF41 AF46 AF75 AF54">
    <cfRule type="cellIs" dxfId="45" priority="31" operator="equal">
      <formula>0</formula>
    </cfRule>
  </conditionalFormatting>
  <conditionalFormatting sqref="AF28">
    <cfRule type="cellIs" dxfId="44" priority="30" operator="equal">
      <formula>0</formula>
    </cfRule>
  </conditionalFormatting>
  <conditionalFormatting sqref="AF55">
    <cfRule type="cellIs" dxfId="43" priority="29" operator="equal">
      <formula>0</formula>
    </cfRule>
  </conditionalFormatting>
  <conditionalFormatting sqref="AF76">
    <cfRule type="cellIs" dxfId="42" priority="28" operator="equal">
      <formula>0</formula>
    </cfRule>
  </conditionalFormatting>
  <conditionalFormatting sqref="AF62">
    <cfRule type="cellIs" dxfId="41" priority="27" operator="equal">
      <formula>0</formula>
    </cfRule>
  </conditionalFormatting>
  <conditionalFormatting sqref="AF39">
    <cfRule type="cellIs" dxfId="40" priority="26" operator="equal">
      <formula>0</formula>
    </cfRule>
  </conditionalFormatting>
  <conditionalFormatting sqref="AD82">
    <cfRule type="cellIs" dxfId="39" priority="33" operator="equal">
      <formula>0</formula>
    </cfRule>
  </conditionalFormatting>
  <conditionalFormatting sqref="W83:Y83">
    <cfRule type="cellIs" dxfId="38" priority="34" operator="equal">
      <formula>0</formula>
    </cfRule>
  </conditionalFormatting>
  <conditionalFormatting sqref="U53:V53 Z53:AE53 AG53:AJ53">
    <cfRule type="cellIs" dxfId="37" priority="38" operator="equal">
      <formula>0</formula>
    </cfRule>
  </conditionalFormatting>
  <conditionalFormatting sqref="W53">
    <cfRule type="cellIs" dxfId="36" priority="37" operator="equal">
      <formula>0</formula>
    </cfRule>
  </conditionalFormatting>
  <conditionalFormatting sqref="X53">
    <cfRule type="cellIs" dxfId="35" priority="36" operator="equal">
      <formula>0</formula>
    </cfRule>
  </conditionalFormatting>
  <conditionalFormatting sqref="Y53">
    <cfRule type="cellIs" dxfId="34" priority="35" operator="equal">
      <formula>0</formula>
    </cfRule>
  </conditionalFormatting>
  <conditionalFormatting sqref="X89">
    <cfRule type="cellIs" dxfId="33" priority="40" operator="equal">
      <formula>0</formula>
    </cfRule>
  </conditionalFormatting>
  <conditionalFormatting sqref="Y89">
    <cfRule type="cellIs" dxfId="32" priority="39" operator="equal">
      <formula>0</formula>
    </cfRule>
  </conditionalFormatting>
  <conditionalFormatting sqref="Y88">
    <cfRule type="cellIs" dxfId="31" priority="41" operator="equal">
      <formula>0</formula>
    </cfRule>
  </conditionalFormatting>
  <conditionalFormatting sqref="AF59">
    <cfRule type="cellIs" dxfId="30" priority="25" operator="equal">
      <formula>0</formula>
    </cfRule>
  </conditionalFormatting>
  <conditionalFormatting sqref="AH75:AI75">
    <cfRule type="cellIs" dxfId="29" priority="42" operator="equal">
      <formula>0</formula>
    </cfRule>
  </conditionalFormatting>
  <conditionalFormatting sqref="AJ75">
    <cfRule type="cellIs" dxfId="28" priority="43" operator="equal">
      <formula>0</formula>
    </cfRule>
  </conditionalFormatting>
  <conditionalFormatting sqref="AF66">
    <cfRule type="cellIs" dxfId="27" priority="24" operator="equal">
      <formula>0</formula>
    </cfRule>
  </conditionalFormatting>
  <conditionalFormatting sqref="AF43">
    <cfRule type="cellIs" dxfId="26" priority="23" operator="equal">
      <formula>0</formula>
    </cfRule>
  </conditionalFormatting>
  <conditionalFormatting sqref="AF65">
    <cfRule type="cellIs" dxfId="25" priority="22" operator="equal">
      <formula>0</formula>
    </cfRule>
  </conditionalFormatting>
  <conditionalFormatting sqref="AF40">
    <cfRule type="cellIs" dxfId="24" priority="21" operator="equal">
      <formula>0</formula>
    </cfRule>
  </conditionalFormatting>
  <conditionalFormatting sqref="AF38">
    <cfRule type="cellIs" dxfId="23" priority="20" operator="equal">
      <formula>0</formula>
    </cfRule>
  </conditionalFormatting>
  <conditionalFormatting sqref="AF64">
    <cfRule type="cellIs" dxfId="22" priority="19" operator="equal">
      <formula>0</formula>
    </cfRule>
  </conditionalFormatting>
  <conditionalFormatting sqref="AF42">
    <cfRule type="cellIs" dxfId="21" priority="18" operator="equal">
      <formula>0</formula>
    </cfRule>
  </conditionalFormatting>
  <conditionalFormatting sqref="AF37">
    <cfRule type="cellIs" dxfId="20" priority="17" operator="equal">
      <formula>0</formula>
    </cfRule>
  </conditionalFormatting>
  <conditionalFormatting sqref="AF49">
    <cfRule type="cellIs" dxfId="19" priority="16" operator="equal">
      <formula>0</formula>
    </cfRule>
  </conditionalFormatting>
  <conditionalFormatting sqref="AF57">
    <cfRule type="cellIs" dxfId="18" priority="15" operator="equal">
      <formula>0</formula>
    </cfRule>
  </conditionalFormatting>
  <conditionalFormatting sqref="AF74">
    <cfRule type="cellIs" dxfId="17" priority="14" operator="equal">
      <formula>0</formula>
    </cfRule>
  </conditionalFormatting>
  <conditionalFormatting sqref="AF45">
    <cfRule type="cellIs" dxfId="16" priority="13" operator="equal">
      <formula>0</formula>
    </cfRule>
  </conditionalFormatting>
  <conditionalFormatting sqref="AF53">
    <cfRule type="cellIs" dxfId="15" priority="12" operator="equal">
      <formula>0</formula>
    </cfRule>
  </conditionalFormatting>
  <conditionalFormatting sqref="X49">
    <cfRule type="cellIs" dxfId="14" priority="11" operator="equal">
      <formula>0</formula>
    </cfRule>
  </conditionalFormatting>
  <conditionalFormatting sqref="X50">
    <cfRule type="cellIs" dxfId="13" priority="10" operator="equal">
      <formula>0</formula>
    </cfRule>
  </conditionalFormatting>
  <conditionalFormatting sqref="X69">
    <cfRule type="cellIs" dxfId="12" priority="9" operator="equal">
      <formula>0</formula>
    </cfRule>
  </conditionalFormatting>
  <conditionalFormatting sqref="Y49">
    <cfRule type="cellIs" dxfId="11" priority="8" operator="equal">
      <formula>0</formula>
    </cfRule>
  </conditionalFormatting>
  <conditionalFormatting sqref="Y50">
    <cfRule type="cellIs" dxfId="10" priority="7" operator="equal">
      <formula>0</formula>
    </cfRule>
  </conditionalFormatting>
  <conditionalFormatting sqref="Y69">
    <cfRule type="cellIs" dxfId="9" priority="6" operator="equal">
      <formula>0</formula>
    </cfRule>
  </conditionalFormatting>
  <conditionalFormatting sqref="X8:X15">
    <cfRule type="cellIs" dxfId="8" priority="5" operator="equal">
      <formula>0</formula>
    </cfRule>
  </conditionalFormatting>
  <conditionalFormatting sqref="X16:X17">
    <cfRule type="cellIs" dxfId="7" priority="4" operator="equal">
      <formula>0</formula>
    </cfRule>
  </conditionalFormatting>
  <conditionalFormatting sqref="Y8:Y15">
    <cfRule type="cellIs" dxfId="6" priority="3" operator="equal">
      <formula>0</formula>
    </cfRule>
  </conditionalFormatting>
  <conditionalFormatting sqref="Y16:Y17">
    <cfRule type="cellIs" dxfId="5" priority="2" operator="equal">
      <formula>0</formula>
    </cfRule>
  </conditionalFormatting>
  <conditionalFormatting sqref="AA27:AB27">
    <cfRule type="cellIs" dxfId="4" priority="1" operator="equal">
      <formula>0</formula>
    </cfRule>
  </conditionalFormatting>
  <pageMargins left="0.25" right="0.25" top="0.75" bottom="0.75" header="0.3" footer="0.3"/>
  <pageSetup paperSize="8" scale="13" fitToHeight="2" orientation="portrait" r:id="rId1"/>
  <rowBreaks count="2" manualBreakCount="2">
    <brk id="36" max="53" man="1"/>
    <brk id="65" max="53" man="1"/>
  </rowBreak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79998168889431442"/>
    <pageSetUpPr fitToPage="1"/>
  </sheetPr>
  <dimension ref="C1:BH160"/>
  <sheetViews>
    <sheetView showGridLines="0" view="pageBreakPreview" zoomScale="40" zoomScaleNormal="70" zoomScaleSheetLayoutView="40" workbookViewId="0">
      <selection activeCell="F18" sqref="F18:F19"/>
    </sheetView>
  </sheetViews>
  <sheetFormatPr defaultColWidth="8.75" defaultRowHeight="16.5"/>
  <cols>
    <col min="1" max="1" width="3.25" style="1847" customWidth="1"/>
    <col min="2" max="2" width="3" style="1847" customWidth="1"/>
    <col min="3" max="3" width="13.875" style="1847" customWidth="1"/>
    <col min="4" max="4" width="11.875" style="1847" customWidth="1"/>
    <col min="5" max="10" width="11.75" style="1847" customWidth="1"/>
    <col min="11" max="11" width="15.125" style="1847" bestFit="1" customWidth="1"/>
    <col min="12" max="16" width="11.75" style="1847" customWidth="1"/>
    <col min="17" max="39" width="10.75" style="440" customWidth="1"/>
    <col min="40" max="40" width="2.75" style="1847" customWidth="1"/>
    <col min="41" max="41" width="4.25" style="1847" customWidth="1"/>
    <col min="42" max="42" width="13.75" style="1847" customWidth="1"/>
    <col min="43" max="16384" width="8.75" style="1847"/>
  </cols>
  <sheetData>
    <row r="1" spans="3:60">
      <c r="E1" s="1848"/>
      <c r="F1" s="1848">
        <v>0.30249999999999999</v>
      </c>
      <c r="H1" s="1848">
        <v>0.30249999999999999</v>
      </c>
      <c r="J1" s="1848">
        <v>0.30249999999999999</v>
      </c>
      <c r="L1" s="1848">
        <v>0.30249999999999999</v>
      </c>
      <c r="N1" s="1848"/>
      <c r="P1" s="1848"/>
    </row>
    <row r="2" spans="3:60" s="1849" customFormat="1" ht="40.15" customHeight="1">
      <c r="C2" s="2127" t="s">
        <v>2252</v>
      </c>
      <c r="Q2" s="754"/>
      <c r="R2" s="754"/>
      <c r="S2" s="754"/>
      <c r="T2" s="754"/>
      <c r="U2" s="754"/>
      <c r="V2" s="754"/>
      <c r="W2" s="754"/>
      <c r="X2" s="754"/>
      <c r="Y2" s="754"/>
      <c r="Z2" s="754"/>
      <c r="AA2" s="754"/>
      <c r="AB2" s="754"/>
      <c r="AC2" s="754"/>
      <c r="AD2" s="754"/>
      <c r="AE2" s="754"/>
      <c r="AF2" s="754"/>
      <c r="AG2" s="754"/>
      <c r="AH2" s="754"/>
      <c r="AI2" s="754"/>
      <c r="AJ2" s="754"/>
      <c r="AK2" s="754"/>
      <c r="AL2" s="754"/>
      <c r="AM2" s="754"/>
    </row>
    <row r="5" spans="3:60" ht="30" customHeight="1">
      <c r="C5" s="2625" t="s">
        <v>1709</v>
      </c>
      <c r="D5" s="2625"/>
      <c r="E5" s="2625"/>
      <c r="F5" s="472" t="s">
        <v>1704</v>
      </c>
      <c r="G5" s="1850">
        <v>45505</v>
      </c>
      <c r="H5" s="472" t="s">
        <v>1705</v>
      </c>
      <c r="I5" s="1851" t="s">
        <v>1706</v>
      </c>
      <c r="J5" s="472" t="s">
        <v>1707</v>
      </c>
      <c r="K5" s="1852">
        <v>92172.56</v>
      </c>
      <c r="R5" s="755" t="s">
        <v>1967</v>
      </c>
      <c r="S5" s="756"/>
      <c r="T5" s="756"/>
      <c r="U5" s="757"/>
      <c r="V5" s="757"/>
      <c r="W5" s="757"/>
      <c r="X5" s="757"/>
      <c r="Y5" s="757"/>
      <c r="Z5" s="757"/>
      <c r="AA5" s="757"/>
      <c r="AB5" s="757"/>
      <c r="AC5" s="757"/>
      <c r="AD5" s="758"/>
      <c r="AE5" s="758"/>
      <c r="AF5" s="758"/>
      <c r="AG5" s="758"/>
      <c r="AH5" s="758"/>
      <c r="AI5" s="759"/>
      <c r="AK5" s="607"/>
      <c r="AL5" s="607"/>
      <c r="AM5" s="607"/>
    </row>
    <row r="6" spans="3:60" ht="30" customHeight="1">
      <c r="C6" s="2625"/>
      <c r="D6" s="2625"/>
      <c r="E6" s="2625"/>
      <c r="F6" s="472" t="s">
        <v>1710</v>
      </c>
      <c r="G6" s="1853">
        <f>'2-1) Rent Roll'!G5</f>
        <v>0.99644522121266077</v>
      </c>
      <c r="H6" s="472" t="s">
        <v>1711</v>
      </c>
      <c r="I6" s="1853">
        <f>'2-1) Rent Roll'!I5</f>
        <v>3.5547787873391715E-3</v>
      </c>
      <c r="J6" s="465"/>
      <c r="K6" s="1853"/>
      <c r="R6" s="760"/>
      <c r="S6" s="761" t="s">
        <v>1968</v>
      </c>
      <c r="T6" s="762"/>
      <c r="U6" s="761" t="s">
        <v>1969</v>
      </c>
      <c r="V6" s="763"/>
      <c r="W6" s="761" t="s">
        <v>1970</v>
      </c>
      <c r="X6" s="764"/>
      <c r="Y6" s="761" t="s">
        <v>1971</v>
      </c>
      <c r="Z6" s="765"/>
      <c r="AA6" s="761" t="s">
        <v>1972</v>
      </c>
      <c r="AB6" s="766"/>
      <c r="AC6" s="761" t="s">
        <v>1973</v>
      </c>
      <c r="AD6" s="767"/>
      <c r="AE6" s="761" t="s">
        <v>1974</v>
      </c>
      <c r="AF6" s="768"/>
      <c r="AG6" s="761" t="s">
        <v>1975</v>
      </c>
      <c r="AH6" s="769"/>
      <c r="AI6" s="770" t="s">
        <v>1976</v>
      </c>
      <c r="AK6" s="607"/>
      <c r="AL6" s="771"/>
      <c r="AM6" s="772"/>
      <c r="AN6" s="771"/>
    </row>
    <row r="7" spans="3:60" ht="30" customHeight="1">
      <c r="C7" s="773"/>
      <c r="D7" s="773"/>
      <c r="E7" s="773"/>
      <c r="F7" s="774"/>
      <c r="G7" s="775"/>
      <c r="H7" s="774"/>
      <c r="I7" s="775"/>
      <c r="J7" s="776"/>
      <c r="K7" s="775"/>
      <c r="W7" s="1854"/>
      <c r="X7" s="771"/>
      <c r="Y7" s="771"/>
      <c r="Z7" s="771"/>
      <c r="AA7" s="607"/>
      <c r="AB7" s="607"/>
      <c r="AC7" s="607"/>
      <c r="AD7" s="607"/>
      <c r="AE7" s="607"/>
      <c r="AF7" s="607"/>
      <c r="AG7" s="607"/>
      <c r="AH7" s="607"/>
      <c r="AI7" s="607"/>
      <c r="AJ7" s="607"/>
      <c r="AK7" s="607"/>
      <c r="AL7" s="771"/>
      <c r="AM7" s="607"/>
      <c r="AN7" s="1854"/>
      <c r="AT7" s="1854"/>
      <c r="AU7" s="1854"/>
      <c r="AV7" s="1854"/>
      <c r="AW7" s="1854"/>
      <c r="AX7" s="1854"/>
      <c r="AY7" s="1854"/>
      <c r="AZ7" s="1854"/>
      <c r="BA7" s="1854"/>
      <c r="BB7" s="1854"/>
      <c r="BC7" s="1854"/>
      <c r="BD7" s="1854"/>
      <c r="BE7" s="1854"/>
      <c r="BF7" s="1854"/>
      <c r="BG7" s="1854"/>
      <c r="BH7" s="1854"/>
    </row>
    <row r="8" spans="3:60">
      <c r="AT8" s="1854"/>
      <c r="AU8" s="1854"/>
      <c r="AV8" s="1854"/>
      <c r="AW8" s="1854"/>
      <c r="AX8" s="1854"/>
      <c r="AY8" s="1854"/>
      <c r="AZ8" s="772"/>
      <c r="BA8" s="772"/>
      <c r="BB8" s="772"/>
      <c r="BC8" s="1854"/>
      <c r="BD8" s="1854"/>
      <c r="BE8" s="1854"/>
      <c r="BF8" s="1854"/>
      <c r="BG8" s="1854"/>
      <c r="BH8" s="1854"/>
    </row>
    <row r="9" spans="3:60" ht="37.15" customHeight="1">
      <c r="C9" s="2623" t="s">
        <v>2159</v>
      </c>
      <c r="D9" s="2623" t="s">
        <v>2160</v>
      </c>
      <c r="E9" s="1855" t="s">
        <v>1977</v>
      </c>
      <c r="F9" s="1855"/>
      <c r="G9" s="1855"/>
      <c r="H9" s="1855"/>
      <c r="I9" s="1855" t="s">
        <v>1978</v>
      </c>
      <c r="J9" s="1855"/>
      <c r="K9" s="1855"/>
      <c r="L9" s="1856"/>
      <c r="M9" s="1855" t="s">
        <v>1979</v>
      </c>
      <c r="N9" s="1855"/>
      <c r="O9" s="1855"/>
      <c r="P9" s="1856"/>
      <c r="Q9" s="2624" t="s">
        <v>1980</v>
      </c>
      <c r="R9" s="2624"/>
      <c r="S9" s="2624"/>
      <c r="T9" s="2624"/>
      <c r="U9" s="2624"/>
      <c r="V9" s="2624"/>
      <c r="W9" s="2624"/>
      <c r="X9" s="2624"/>
      <c r="Y9" s="2624"/>
      <c r="Z9" s="2624"/>
      <c r="AA9" s="2624"/>
      <c r="AB9" s="2624"/>
      <c r="AC9" s="2624"/>
      <c r="AD9" s="2624"/>
      <c r="AE9" s="2624"/>
      <c r="AF9" s="2624"/>
      <c r="AG9" s="2624"/>
      <c r="AH9" s="2624"/>
      <c r="AI9" s="2624"/>
      <c r="AJ9" s="2624"/>
      <c r="AK9" s="2624"/>
      <c r="AL9" s="2624"/>
      <c r="AM9" s="2624"/>
      <c r="AT9" s="1854"/>
      <c r="AU9" s="1854"/>
      <c r="AV9" s="1854"/>
      <c r="AW9" s="1854"/>
      <c r="AX9" s="1854"/>
      <c r="AY9" s="1854"/>
      <c r="AZ9" s="1854"/>
      <c r="BA9" s="1854"/>
      <c r="BB9" s="1854"/>
      <c r="BC9" s="1854"/>
      <c r="BD9" s="1854"/>
      <c r="BE9" s="1854"/>
      <c r="BF9" s="1854"/>
      <c r="BG9" s="1854"/>
      <c r="BH9" s="1854"/>
    </row>
    <row r="10" spans="3:60" ht="37.15" customHeight="1">
      <c r="C10" s="2623"/>
      <c r="D10" s="2623"/>
      <c r="E10" s="1855" t="s">
        <v>1981</v>
      </c>
      <c r="F10" s="1855"/>
      <c r="G10" s="1855" t="s">
        <v>1982</v>
      </c>
      <c r="H10" s="1855"/>
      <c r="I10" s="1855" t="s">
        <v>1981</v>
      </c>
      <c r="J10" s="1855"/>
      <c r="K10" s="1855" t="s">
        <v>1982</v>
      </c>
      <c r="L10" s="1855"/>
      <c r="M10" s="1855" t="s">
        <v>1981</v>
      </c>
      <c r="N10" s="1855"/>
      <c r="O10" s="1855" t="s">
        <v>1982</v>
      </c>
      <c r="P10" s="1855"/>
      <c r="Q10" s="2624"/>
      <c r="R10" s="2624"/>
      <c r="S10" s="2624"/>
      <c r="T10" s="2624"/>
      <c r="U10" s="2624"/>
      <c r="V10" s="2624"/>
      <c r="W10" s="2624"/>
      <c r="X10" s="2624"/>
      <c r="Y10" s="2624"/>
      <c r="Z10" s="2624"/>
      <c r="AA10" s="2624"/>
      <c r="AB10" s="2624"/>
      <c r="AC10" s="2624"/>
      <c r="AD10" s="2624"/>
      <c r="AE10" s="2624"/>
      <c r="AF10" s="2624"/>
      <c r="AG10" s="2624"/>
      <c r="AH10" s="2624"/>
      <c r="AI10" s="2624"/>
      <c r="AJ10" s="2624"/>
      <c r="AK10" s="2624"/>
      <c r="AL10" s="2624"/>
      <c r="AM10" s="2624"/>
      <c r="AT10" s="1854"/>
      <c r="AU10" s="1854"/>
      <c r="AV10" s="1854"/>
      <c r="AW10" s="1854"/>
      <c r="AX10" s="1854"/>
      <c r="AY10" s="1854"/>
      <c r="AZ10" s="1854"/>
      <c r="BA10" s="1854"/>
      <c r="BB10" s="1854"/>
      <c r="BC10" s="1854"/>
      <c r="BD10" s="1854"/>
      <c r="BE10" s="1854"/>
      <c r="BF10" s="1854"/>
      <c r="BG10" s="1854"/>
      <c r="BH10" s="1854"/>
    </row>
    <row r="11" spans="3:60" ht="37.15" customHeight="1">
      <c r="C11" s="2623"/>
      <c r="D11" s="2623"/>
      <c r="E11" s="1857" t="s">
        <v>1743</v>
      </c>
      <c r="F11" s="1857" t="s">
        <v>1983</v>
      </c>
      <c r="G11" s="1857" t="s">
        <v>1743</v>
      </c>
      <c r="H11" s="1857" t="s">
        <v>1983</v>
      </c>
      <c r="I11" s="1857" t="s">
        <v>1743</v>
      </c>
      <c r="J11" s="1857" t="s">
        <v>1983</v>
      </c>
      <c r="K11" s="1857" t="s">
        <v>1743</v>
      </c>
      <c r="L11" s="1857" t="s">
        <v>1983</v>
      </c>
      <c r="M11" s="1857" t="s">
        <v>1743</v>
      </c>
      <c r="N11" s="1857" t="s">
        <v>1983</v>
      </c>
      <c r="O11" s="1857" t="s">
        <v>1743</v>
      </c>
      <c r="P11" s="1857" t="s">
        <v>1983</v>
      </c>
      <c r="Q11" s="2624"/>
      <c r="R11" s="2624"/>
      <c r="S11" s="2624"/>
      <c r="T11" s="2624"/>
      <c r="U11" s="2624"/>
      <c r="V11" s="2624"/>
      <c r="W11" s="2624"/>
      <c r="X11" s="2624"/>
      <c r="Y11" s="2624"/>
      <c r="Z11" s="2624"/>
      <c r="AA11" s="2624"/>
      <c r="AB11" s="2624"/>
      <c r="AC11" s="2624"/>
      <c r="AD11" s="2624"/>
      <c r="AE11" s="2624"/>
      <c r="AF11" s="2624"/>
      <c r="AG11" s="2624"/>
      <c r="AH11" s="2624"/>
      <c r="AI11" s="2624"/>
      <c r="AJ11" s="2624"/>
      <c r="AK11" s="2624"/>
      <c r="AL11" s="2624"/>
      <c r="AM11" s="2624"/>
      <c r="AT11" s="1854"/>
      <c r="AU11" s="1854"/>
      <c r="AV11" s="1854"/>
      <c r="AW11" s="1854"/>
      <c r="AX11" s="1854"/>
      <c r="AY11" s="1854"/>
      <c r="AZ11" s="1854"/>
      <c r="BA11" s="1854"/>
      <c r="BB11" s="1854"/>
      <c r="BC11" s="1854"/>
      <c r="BD11" s="1854"/>
      <c r="BE11" s="1854"/>
      <c r="BF11" s="1854"/>
      <c r="BG11" s="1854"/>
      <c r="BH11" s="1854"/>
    </row>
    <row r="12" spans="3:60">
      <c r="C12" s="2622" t="s">
        <v>1785</v>
      </c>
      <c r="D12" s="2622">
        <v>40</v>
      </c>
      <c r="E12" s="2619">
        <v>2647.53</v>
      </c>
      <c r="F12" s="2618">
        <f>E12*$F$1</f>
        <v>800.87782500000003</v>
      </c>
      <c r="G12" s="2619">
        <v>1132.9100000000001</v>
      </c>
      <c r="H12" s="2618">
        <f>G12*$H$1</f>
        <v>342.70527500000003</v>
      </c>
      <c r="I12" s="2619">
        <v>2647.53</v>
      </c>
      <c r="J12" s="2618">
        <f>I12*$J$1</f>
        <v>800.87782500000003</v>
      </c>
      <c r="K12" s="2619">
        <v>1132.9100000000001</v>
      </c>
      <c r="L12" s="2618">
        <f>K12*$L$1</f>
        <v>342.70527500000003</v>
      </c>
      <c r="M12" s="2618">
        <f>E12-I12</f>
        <v>0</v>
      </c>
      <c r="N12" s="2618">
        <f t="shared" ref="N12:P12" si="0">F12-J12</f>
        <v>0</v>
      </c>
      <c r="O12" s="2618">
        <f t="shared" si="0"/>
        <v>0</v>
      </c>
      <c r="P12" s="2618">
        <f t="shared" si="0"/>
        <v>0</v>
      </c>
      <c r="Q12" s="777" t="s">
        <v>1787</v>
      </c>
      <c r="R12" s="777"/>
      <c r="S12" s="777"/>
      <c r="T12" s="777"/>
      <c r="U12" s="777"/>
      <c r="V12" s="777"/>
      <c r="W12" s="777"/>
      <c r="X12" s="777"/>
      <c r="Y12" s="777"/>
      <c r="Z12" s="777"/>
      <c r="AA12" s="777"/>
      <c r="AB12" s="777"/>
      <c r="AC12" s="777"/>
      <c r="AD12" s="777"/>
      <c r="AE12" s="777"/>
      <c r="AF12" s="777"/>
      <c r="AG12" s="777"/>
      <c r="AH12" s="777"/>
      <c r="AI12" s="777"/>
      <c r="AJ12" s="777"/>
      <c r="AK12" s="777"/>
      <c r="AL12" s="777"/>
      <c r="AM12" s="777"/>
    </row>
    <row r="13" spans="3:60">
      <c r="C13" s="2622"/>
      <c r="D13" s="2622"/>
      <c r="E13" s="2619"/>
      <c r="F13" s="2618"/>
      <c r="G13" s="2619"/>
      <c r="H13" s="2618"/>
      <c r="I13" s="2619"/>
      <c r="J13" s="2618"/>
      <c r="K13" s="2619"/>
      <c r="L13" s="2618"/>
      <c r="M13" s="2618"/>
      <c r="N13" s="2618"/>
      <c r="O13" s="2618"/>
      <c r="P13" s="2618"/>
      <c r="Q13" s="778">
        <v>43831</v>
      </c>
      <c r="R13" s="779"/>
      <c r="S13" s="779"/>
      <c r="T13" s="779"/>
      <c r="U13" s="779"/>
      <c r="V13" s="779"/>
      <c r="W13" s="779"/>
      <c r="X13" s="779"/>
      <c r="Y13" s="779"/>
      <c r="Z13" s="779"/>
      <c r="AA13" s="780"/>
      <c r="AB13" s="781" t="s">
        <v>1984</v>
      </c>
      <c r="AC13" s="782">
        <v>45657</v>
      </c>
      <c r="AD13" s="783"/>
      <c r="AE13" s="783"/>
      <c r="AF13" s="783"/>
      <c r="AG13" s="783"/>
      <c r="AH13" s="783"/>
      <c r="AI13" s="779"/>
      <c r="AJ13" s="779"/>
      <c r="AK13" s="779"/>
      <c r="AL13" s="779"/>
      <c r="AM13" s="784"/>
    </row>
    <row r="14" spans="3:60">
      <c r="C14" s="2622"/>
      <c r="D14" s="2622">
        <v>39</v>
      </c>
      <c r="E14" s="2619">
        <v>2627.62</v>
      </c>
      <c r="F14" s="2618">
        <f t="shared" ref="F14" si="1">E14*$F$1</f>
        <v>794.85504999999989</v>
      </c>
      <c r="G14" s="2619">
        <v>1124.83</v>
      </c>
      <c r="H14" s="2618">
        <f t="shared" ref="H14" si="2">G14*$H$1</f>
        <v>340.26107499999995</v>
      </c>
      <c r="I14" s="2619">
        <v>2627.62</v>
      </c>
      <c r="J14" s="2618">
        <f t="shared" ref="J14" si="3">I14*$J$1</f>
        <v>794.85504999999989</v>
      </c>
      <c r="K14" s="2619">
        <v>1124.83</v>
      </c>
      <c r="L14" s="2618">
        <f t="shared" ref="L14" si="4">K14*$L$1</f>
        <v>340.26107499999995</v>
      </c>
      <c r="M14" s="2618">
        <f t="shared" ref="M14:P14" si="5">E14-I14</f>
        <v>0</v>
      </c>
      <c r="N14" s="2618">
        <f t="shared" si="5"/>
        <v>0</v>
      </c>
      <c r="O14" s="2618">
        <f t="shared" si="5"/>
        <v>0</v>
      </c>
      <c r="P14" s="2618">
        <f t="shared" si="5"/>
        <v>0</v>
      </c>
      <c r="Q14" s="777" t="s">
        <v>1787</v>
      </c>
      <c r="R14" s="777"/>
      <c r="S14" s="777"/>
      <c r="T14" s="777"/>
      <c r="U14" s="777"/>
      <c r="V14" s="777"/>
      <c r="W14" s="777"/>
      <c r="X14" s="777"/>
      <c r="Y14" s="777"/>
      <c r="Z14" s="777"/>
      <c r="AA14" s="777"/>
      <c r="AB14" s="777"/>
      <c r="AC14" s="777"/>
      <c r="AD14" s="777"/>
      <c r="AE14" s="777"/>
      <c r="AF14" s="777"/>
      <c r="AG14" s="777"/>
      <c r="AH14" s="777"/>
      <c r="AI14" s="777"/>
      <c r="AJ14" s="777"/>
      <c r="AK14" s="777"/>
      <c r="AL14" s="777"/>
      <c r="AM14" s="777"/>
    </row>
    <row r="15" spans="3:60">
      <c r="C15" s="2622"/>
      <c r="D15" s="2622"/>
      <c r="E15" s="2619"/>
      <c r="F15" s="2618"/>
      <c r="G15" s="2619"/>
      <c r="H15" s="2618"/>
      <c r="I15" s="2619"/>
      <c r="J15" s="2618"/>
      <c r="K15" s="2619"/>
      <c r="L15" s="2618"/>
      <c r="M15" s="2618"/>
      <c r="N15" s="2618"/>
      <c r="O15" s="2618"/>
      <c r="P15" s="2618"/>
      <c r="Q15" s="778">
        <v>43831</v>
      </c>
      <c r="R15" s="780"/>
      <c r="S15" s="780"/>
      <c r="T15" s="780"/>
      <c r="U15" s="780"/>
      <c r="V15" s="780"/>
      <c r="W15" s="780"/>
      <c r="X15" s="780"/>
      <c r="Y15" s="780"/>
      <c r="Z15" s="780"/>
      <c r="AA15" s="780"/>
      <c r="AB15" s="781" t="s">
        <v>1984</v>
      </c>
      <c r="AC15" s="782">
        <v>45657</v>
      </c>
      <c r="AD15" s="782"/>
      <c r="AE15" s="780"/>
      <c r="AF15" s="780"/>
      <c r="AG15" s="780"/>
      <c r="AH15" s="780"/>
      <c r="AI15" s="780"/>
      <c r="AJ15" s="780"/>
      <c r="AK15" s="780"/>
      <c r="AL15" s="780"/>
      <c r="AM15" s="785"/>
    </row>
    <row r="16" spans="3:60">
      <c r="C16" s="2622"/>
      <c r="D16" s="2622">
        <v>38</v>
      </c>
      <c r="E16" s="2619">
        <v>2627.62</v>
      </c>
      <c r="F16" s="2618">
        <f t="shared" ref="F16" si="6">E16*$F$1</f>
        <v>794.85504999999989</v>
      </c>
      <c r="G16" s="2619">
        <v>1124.83</v>
      </c>
      <c r="H16" s="2618">
        <f t="shared" ref="H16" si="7">G16*$H$1</f>
        <v>340.26107499999995</v>
      </c>
      <c r="I16" s="2619">
        <v>2627.62</v>
      </c>
      <c r="J16" s="2618">
        <f t="shared" ref="J16" si="8">I16*$J$1</f>
        <v>794.85504999999989</v>
      </c>
      <c r="K16" s="2619">
        <v>1124.83</v>
      </c>
      <c r="L16" s="2618">
        <f t="shared" ref="L16" si="9">K16*$L$1</f>
        <v>340.26107499999995</v>
      </c>
      <c r="M16" s="2618">
        <f t="shared" ref="M16:P16" si="10">E16-I16</f>
        <v>0</v>
      </c>
      <c r="N16" s="2618">
        <f t="shared" si="10"/>
        <v>0</v>
      </c>
      <c r="O16" s="2618">
        <f t="shared" si="10"/>
        <v>0</v>
      </c>
      <c r="P16" s="2618">
        <f t="shared" si="10"/>
        <v>0</v>
      </c>
      <c r="Q16" s="777" t="s">
        <v>1787</v>
      </c>
      <c r="R16" s="777"/>
      <c r="S16" s="777"/>
      <c r="T16" s="777"/>
      <c r="U16" s="777"/>
      <c r="V16" s="777"/>
      <c r="W16" s="777"/>
      <c r="X16" s="777"/>
      <c r="Y16" s="777"/>
      <c r="Z16" s="777"/>
      <c r="AA16" s="777"/>
      <c r="AB16" s="777"/>
      <c r="AC16" s="777"/>
      <c r="AD16" s="777"/>
      <c r="AE16" s="777"/>
      <c r="AF16" s="777"/>
      <c r="AG16" s="777"/>
      <c r="AH16" s="777"/>
      <c r="AI16" s="777"/>
      <c r="AJ16" s="777"/>
      <c r="AK16" s="777"/>
      <c r="AL16" s="777"/>
      <c r="AM16" s="777"/>
    </row>
    <row r="17" spans="3:39">
      <c r="C17" s="2622"/>
      <c r="D17" s="2622"/>
      <c r="E17" s="2619"/>
      <c r="F17" s="2618"/>
      <c r="G17" s="2619"/>
      <c r="H17" s="2618"/>
      <c r="I17" s="2619"/>
      <c r="J17" s="2618"/>
      <c r="K17" s="2619"/>
      <c r="L17" s="2618"/>
      <c r="M17" s="2618"/>
      <c r="N17" s="2618"/>
      <c r="O17" s="2618"/>
      <c r="P17" s="2618"/>
      <c r="Q17" s="778">
        <v>43831</v>
      </c>
      <c r="R17" s="780"/>
      <c r="S17" s="780"/>
      <c r="T17" s="780"/>
      <c r="U17" s="780"/>
      <c r="V17" s="780"/>
      <c r="W17" s="780"/>
      <c r="X17" s="780"/>
      <c r="Y17" s="780"/>
      <c r="Z17" s="780"/>
      <c r="AA17" s="780"/>
      <c r="AB17" s="781" t="s">
        <v>1984</v>
      </c>
      <c r="AC17" s="782">
        <v>45657</v>
      </c>
      <c r="AD17" s="782"/>
      <c r="AE17" s="780"/>
      <c r="AF17" s="780"/>
      <c r="AG17" s="780"/>
      <c r="AH17" s="780"/>
      <c r="AI17" s="780"/>
      <c r="AJ17" s="780"/>
      <c r="AK17" s="780"/>
      <c r="AL17" s="780"/>
      <c r="AM17" s="785"/>
    </row>
    <row r="18" spans="3:39">
      <c r="C18" s="2622"/>
      <c r="D18" s="2622">
        <v>37</v>
      </c>
      <c r="E18" s="2619">
        <v>2627.57</v>
      </c>
      <c r="F18" s="2618">
        <f t="shared" ref="F18" si="11">E18*$F$1</f>
        <v>794.83992499999999</v>
      </c>
      <c r="G18" s="2619">
        <v>1124.82</v>
      </c>
      <c r="H18" s="2618">
        <f t="shared" ref="H18" si="12">G18*$H$1</f>
        <v>340.25804999999997</v>
      </c>
      <c r="I18" s="2619">
        <v>2627.57</v>
      </c>
      <c r="J18" s="2618">
        <f t="shared" ref="J18" si="13">I18*$J$1</f>
        <v>794.83992499999999</v>
      </c>
      <c r="K18" s="2619">
        <v>1124.82</v>
      </c>
      <c r="L18" s="2618">
        <f t="shared" ref="L18" si="14">K18*$L$1</f>
        <v>340.25804999999997</v>
      </c>
      <c r="M18" s="2618">
        <f t="shared" ref="M18:P18" si="15">E18-I18</f>
        <v>0</v>
      </c>
      <c r="N18" s="2618">
        <f t="shared" si="15"/>
        <v>0</v>
      </c>
      <c r="O18" s="2618">
        <f t="shared" si="15"/>
        <v>0</v>
      </c>
      <c r="P18" s="2618">
        <f t="shared" si="15"/>
        <v>0</v>
      </c>
      <c r="Q18" s="777" t="s">
        <v>138</v>
      </c>
      <c r="R18" s="777"/>
      <c r="S18" s="777"/>
      <c r="T18" s="777"/>
      <c r="U18" s="777"/>
      <c r="V18" s="777"/>
      <c r="W18" s="777"/>
      <c r="X18" s="777"/>
      <c r="Y18" s="777"/>
      <c r="Z18" s="777"/>
      <c r="AA18" s="777"/>
      <c r="AB18" s="777"/>
      <c r="AC18" s="777"/>
      <c r="AD18" s="777"/>
      <c r="AE18" s="777"/>
      <c r="AF18" s="777"/>
      <c r="AG18" s="777"/>
      <c r="AH18" s="777"/>
      <c r="AI18" s="777"/>
      <c r="AJ18" s="777"/>
      <c r="AK18" s="777"/>
      <c r="AL18" s="777"/>
      <c r="AM18" s="777"/>
    </row>
    <row r="19" spans="3:39">
      <c r="C19" s="2622"/>
      <c r="D19" s="2622"/>
      <c r="E19" s="2619"/>
      <c r="F19" s="2618"/>
      <c r="G19" s="2619"/>
      <c r="H19" s="2618"/>
      <c r="I19" s="2619"/>
      <c r="J19" s="2618"/>
      <c r="K19" s="2619"/>
      <c r="L19" s="2618"/>
      <c r="M19" s="2618"/>
      <c r="N19" s="2618"/>
      <c r="O19" s="2618"/>
      <c r="P19" s="2618"/>
      <c r="Q19" s="778">
        <v>43831</v>
      </c>
      <c r="R19" s="780"/>
      <c r="S19" s="780"/>
      <c r="T19" s="780"/>
      <c r="U19" s="780"/>
      <c r="V19" s="780"/>
      <c r="W19" s="780"/>
      <c r="X19" s="780"/>
      <c r="Y19" s="780"/>
      <c r="Z19" s="780"/>
      <c r="AA19" s="780"/>
      <c r="AB19" s="781" t="s">
        <v>1984</v>
      </c>
      <c r="AC19" s="782">
        <v>45657</v>
      </c>
      <c r="AD19" s="782"/>
      <c r="AE19" s="780"/>
      <c r="AF19" s="780"/>
      <c r="AG19" s="780"/>
      <c r="AH19" s="780"/>
      <c r="AI19" s="780"/>
      <c r="AJ19" s="780"/>
      <c r="AK19" s="780"/>
      <c r="AL19" s="780"/>
      <c r="AM19" s="785"/>
    </row>
    <row r="20" spans="3:39">
      <c r="C20" s="2622"/>
      <c r="D20" s="2622">
        <v>36</v>
      </c>
      <c r="E20" s="2619">
        <v>2627.57</v>
      </c>
      <c r="F20" s="2618">
        <f t="shared" ref="F20" si="16">E20*$F$1</f>
        <v>794.83992499999999</v>
      </c>
      <c r="G20" s="2619">
        <v>1124.82</v>
      </c>
      <c r="H20" s="2618">
        <f t="shared" ref="H20" si="17">G20*$H$1</f>
        <v>340.25804999999997</v>
      </c>
      <c r="I20" s="2619">
        <v>2627.57</v>
      </c>
      <c r="J20" s="2618">
        <f t="shared" ref="J20" si="18">I20*$J$1</f>
        <v>794.83992499999999</v>
      </c>
      <c r="K20" s="2619">
        <v>1124.82</v>
      </c>
      <c r="L20" s="2618">
        <f t="shared" ref="L20" si="19">K20*$L$1</f>
        <v>340.25804999999997</v>
      </c>
      <c r="M20" s="2618">
        <f t="shared" ref="M20:P20" si="20">E20-I20</f>
        <v>0</v>
      </c>
      <c r="N20" s="2618">
        <f t="shared" si="20"/>
        <v>0</v>
      </c>
      <c r="O20" s="2618">
        <f t="shared" si="20"/>
        <v>0</v>
      </c>
      <c r="P20" s="2618">
        <f t="shared" si="20"/>
        <v>0</v>
      </c>
      <c r="Q20" s="777" t="s">
        <v>138</v>
      </c>
      <c r="R20" s="777"/>
      <c r="S20" s="777"/>
      <c r="T20" s="777"/>
      <c r="U20" s="777"/>
      <c r="V20" s="777"/>
      <c r="W20" s="777"/>
      <c r="X20" s="777"/>
      <c r="Y20" s="777"/>
      <c r="Z20" s="777"/>
      <c r="AA20" s="777"/>
      <c r="AB20" s="777"/>
      <c r="AC20" s="777"/>
      <c r="AD20" s="777"/>
      <c r="AE20" s="777"/>
      <c r="AF20" s="777"/>
      <c r="AG20" s="777"/>
      <c r="AH20" s="777"/>
      <c r="AI20" s="777"/>
      <c r="AJ20" s="777"/>
      <c r="AK20" s="777"/>
      <c r="AL20" s="777"/>
      <c r="AM20" s="777"/>
    </row>
    <row r="21" spans="3:39">
      <c r="C21" s="2622"/>
      <c r="D21" s="2622"/>
      <c r="E21" s="2619"/>
      <c r="F21" s="2618"/>
      <c r="G21" s="2619"/>
      <c r="H21" s="2618"/>
      <c r="I21" s="2619"/>
      <c r="J21" s="2618"/>
      <c r="K21" s="2619"/>
      <c r="L21" s="2618"/>
      <c r="M21" s="2618"/>
      <c r="N21" s="2618"/>
      <c r="O21" s="2618"/>
      <c r="P21" s="2618"/>
      <c r="Q21" s="778">
        <v>43831</v>
      </c>
      <c r="R21" s="780"/>
      <c r="S21" s="780"/>
      <c r="T21" s="780"/>
      <c r="U21" s="780"/>
      <c r="V21" s="780"/>
      <c r="W21" s="780"/>
      <c r="X21" s="780"/>
      <c r="Y21" s="780"/>
      <c r="Z21" s="780"/>
      <c r="AA21" s="780"/>
      <c r="AB21" s="781" t="s">
        <v>1984</v>
      </c>
      <c r="AC21" s="781"/>
      <c r="AD21" s="782">
        <v>45657</v>
      </c>
      <c r="AE21" s="780"/>
      <c r="AF21" s="780"/>
      <c r="AG21" s="780"/>
      <c r="AH21" s="780"/>
      <c r="AI21" s="780"/>
      <c r="AJ21" s="780"/>
      <c r="AK21" s="780"/>
      <c r="AL21" s="780"/>
      <c r="AM21" s="785"/>
    </row>
    <row r="22" spans="3:39">
      <c r="C22" s="2622"/>
      <c r="D22" s="2622">
        <v>35</v>
      </c>
      <c r="E22" s="2619">
        <v>2627.57</v>
      </c>
      <c r="F22" s="2618">
        <f t="shared" ref="F22" si="21">E22*$F$1</f>
        <v>794.83992499999999</v>
      </c>
      <c r="G22" s="2619">
        <v>1124.82</v>
      </c>
      <c r="H22" s="2618">
        <f t="shared" ref="H22" si="22">G22*$H$1</f>
        <v>340.25804999999997</v>
      </c>
      <c r="I22" s="2619">
        <v>2627.57</v>
      </c>
      <c r="J22" s="2618">
        <f t="shared" ref="J22" si="23">I22*$J$1</f>
        <v>794.83992499999999</v>
      </c>
      <c r="K22" s="2619">
        <v>1124.82</v>
      </c>
      <c r="L22" s="2618">
        <f t="shared" ref="L22" si="24">K22*$L$1</f>
        <v>340.25804999999997</v>
      </c>
      <c r="M22" s="2618">
        <f t="shared" ref="M22:P22" si="25">E22-I22</f>
        <v>0</v>
      </c>
      <c r="N22" s="2618">
        <f t="shared" si="25"/>
        <v>0</v>
      </c>
      <c r="O22" s="2618">
        <f t="shared" si="25"/>
        <v>0</v>
      </c>
      <c r="P22" s="2618">
        <f t="shared" si="25"/>
        <v>0</v>
      </c>
      <c r="Q22" s="777" t="s">
        <v>149</v>
      </c>
      <c r="R22" s="777"/>
      <c r="S22" s="777"/>
      <c r="T22" s="777"/>
      <c r="U22" s="777"/>
      <c r="V22" s="777"/>
      <c r="W22" s="777"/>
      <c r="X22" s="777"/>
      <c r="Y22" s="777"/>
      <c r="Z22" s="777"/>
      <c r="AA22" s="777"/>
      <c r="AB22" s="777"/>
      <c r="AC22" s="777"/>
      <c r="AD22" s="777"/>
      <c r="AE22" s="777"/>
      <c r="AF22" s="777"/>
      <c r="AG22" s="777"/>
      <c r="AH22" s="777"/>
      <c r="AI22" s="777"/>
      <c r="AJ22" s="777"/>
      <c r="AK22" s="777"/>
      <c r="AL22" s="777"/>
      <c r="AM22" s="777"/>
    </row>
    <row r="23" spans="3:39">
      <c r="C23" s="2622"/>
      <c r="D23" s="2622"/>
      <c r="E23" s="2619"/>
      <c r="F23" s="2618"/>
      <c r="G23" s="2619"/>
      <c r="H23" s="2618"/>
      <c r="I23" s="2619"/>
      <c r="J23" s="2618"/>
      <c r="K23" s="2619"/>
      <c r="L23" s="2618"/>
      <c r="M23" s="2618"/>
      <c r="N23" s="2618"/>
      <c r="O23" s="2618"/>
      <c r="P23" s="2618"/>
      <c r="Q23" s="778">
        <v>43831</v>
      </c>
      <c r="R23" s="780"/>
      <c r="S23" s="780"/>
      <c r="T23" s="780"/>
      <c r="U23" s="780"/>
      <c r="V23" s="780"/>
      <c r="W23" s="780"/>
      <c r="X23" s="780"/>
      <c r="Y23" s="780"/>
      <c r="Z23" s="780"/>
      <c r="AA23" s="780"/>
      <c r="AB23" s="780" t="s">
        <v>1984</v>
      </c>
      <c r="AC23" s="781"/>
      <c r="AD23" s="782">
        <v>45657</v>
      </c>
      <c r="AE23" s="780"/>
      <c r="AF23" s="780"/>
      <c r="AG23" s="780"/>
      <c r="AH23" s="780"/>
      <c r="AI23" s="780"/>
      <c r="AJ23" s="780"/>
      <c r="AK23" s="780"/>
      <c r="AL23" s="780"/>
      <c r="AM23" s="785"/>
    </row>
    <row r="24" spans="3:39">
      <c r="C24" s="2622"/>
      <c r="D24" s="2622">
        <v>34</v>
      </c>
      <c r="E24" s="2619">
        <v>2627.57</v>
      </c>
      <c r="F24" s="2618">
        <f t="shared" ref="F24" si="26">E24*$F$1</f>
        <v>794.83992499999999</v>
      </c>
      <c r="G24" s="2619">
        <v>1124.82</v>
      </c>
      <c r="H24" s="2618">
        <f t="shared" ref="H24" si="27">G24*$H$1</f>
        <v>340.25804999999997</v>
      </c>
      <c r="I24" s="2619">
        <v>2627.57</v>
      </c>
      <c r="J24" s="2618">
        <f t="shared" ref="J24" si="28">I24*$J$1</f>
        <v>794.83992499999999</v>
      </c>
      <c r="K24" s="2619">
        <v>1124.82</v>
      </c>
      <c r="L24" s="2618">
        <f t="shared" ref="L24" si="29">K24*$L$1</f>
        <v>340.25804999999997</v>
      </c>
      <c r="M24" s="2618">
        <f t="shared" ref="M24:P24" si="30">E24-I24</f>
        <v>0</v>
      </c>
      <c r="N24" s="2618">
        <f t="shared" si="30"/>
        <v>0</v>
      </c>
      <c r="O24" s="2618">
        <f t="shared" si="30"/>
        <v>0</v>
      </c>
      <c r="P24" s="2618">
        <f t="shared" si="30"/>
        <v>0</v>
      </c>
      <c r="Q24" s="777" t="s">
        <v>149</v>
      </c>
      <c r="R24" s="777"/>
      <c r="S24" s="777"/>
      <c r="T24" s="777"/>
      <c r="U24" s="777"/>
      <c r="V24" s="777"/>
      <c r="W24" s="777"/>
      <c r="X24" s="777"/>
      <c r="Y24" s="777"/>
      <c r="Z24" s="777"/>
      <c r="AA24" s="777"/>
      <c r="AB24" s="777"/>
      <c r="AC24" s="786"/>
      <c r="AD24" s="786" t="s">
        <v>138</v>
      </c>
      <c r="AE24" s="777"/>
      <c r="AF24" s="777"/>
      <c r="AG24" s="777"/>
      <c r="AH24" s="777"/>
      <c r="AI24" s="777"/>
      <c r="AJ24" s="777"/>
      <c r="AK24" s="777"/>
      <c r="AL24" s="777"/>
      <c r="AM24" s="777"/>
    </row>
    <row r="25" spans="3:39">
      <c r="C25" s="2622"/>
      <c r="D25" s="2622"/>
      <c r="E25" s="2619"/>
      <c r="F25" s="2618"/>
      <c r="G25" s="2619"/>
      <c r="H25" s="2618"/>
      <c r="I25" s="2619"/>
      <c r="J25" s="2618"/>
      <c r="K25" s="2619"/>
      <c r="L25" s="2618"/>
      <c r="M25" s="2618"/>
      <c r="N25" s="2618"/>
      <c r="O25" s="2618"/>
      <c r="P25" s="2618"/>
      <c r="Q25" s="778">
        <v>43831</v>
      </c>
      <c r="R25" s="780"/>
      <c r="S25" s="780"/>
      <c r="T25" s="780"/>
      <c r="U25" s="780"/>
      <c r="V25" s="780"/>
      <c r="W25" s="780" t="s">
        <v>1984</v>
      </c>
      <c r="X25" s="782">
        <v>45657</v>
      </c>
      <c r="Y25" s="782"/>
      <c r="Z25" s="782"/>
      <c r="AA25" s="780"/>
      <c r="AB25" s="785"/>
      <c r="AC25" s="787"/>
      <c r="AD25" s="782">
        <v>43831</v>
      </c>
      <c r="AE25" s="780"/>
      <c r="AF25" s="780"/>
      <c r="AG25" s="780"/>
      <c r="AH25" s="781" t="s">
        <v>1984</v>
      </c>
      <c r="AI25" s="782">
        <v>45657</v>
      </c>
      <c r="AJ25" s="780"/>
      <c r="AK25" s="782"/>
      <c r="AL25" s="782"/>
      <c r="AM25" s="785"/>
    </row>
    <row r="26" spans="3:39">
      <c r="C26" s="2622"/>
      <c r="D26" s="2622">
        <v>33</v>
      </c>
      <c r="E26" s="2619">
        <v>2627.57</v>
      </c>
      <c r="F26" s="2618">
        <f t="shared" ref="F26" si="31">E26*$F$1</f>
        <v>794.83992499999999</v>
      </c>
      <c r="G26" s="2619">
        <v>1124.82</v>
      </c>
      <c r="H26" s="2618">
        <f t="shared" ref="H26" si="32">G26*$H$1</f>
        <v>340.25804999999997</v>
      </c>
      <c r="I26" s="2619">
        <v>2627.57</v>
      </c>
      <c r="J26" s="2618">
        <f t="shared" ref="J26" si="33">I26*$J$1</f>
        <v>794.83992499999999</v>
      </c>
      <c r="K26" s="2619">
        <v>1124.82</v>
      </c>
      <c r="L26" s="2618">
        <f t="shared" ref="L26" si="34">K26*$L$1</f>
        <v>340.25804999999997</v>
      </c>
      <c r="M26" s="2618">
        <f t="shared" ref="M26:P26" si="35">E26-I26</f>
        <v>0</v>
      </c>
      <c r="N26" s="2618">
        <f t="shared" si="35"/>
        <v>0</v>
      </c>
      <c r="O26" s="2618">
        <f t="shared" si="35"/>
        <v>0</v>
      </c>
      <c r="P26" s="2618">
        <f t="shared" si="35"/>
        <v>0</v>
      </c>
      <c r="Q26" s="788" t="s">
        <v>143</v>
      </c>
      <c r="R26" s="788"/>
      <c r="S26" s="788"/>
      <c r="T26" s="788"/>
      <c r="U26" s="788"/>
      <c r="V26" s="788"/>
      <c r="W26" s="788"/>
      <c r="X26" s="788"/>
      <c r="Y26" s="788"/>
      <c r="Z26" s="789" t="s">
        <v>2161</v>
      </c>
      <c r="AA26" s="789"/>
      <c r="AB26" s="789"/>
      <c r="AC26" s="789"/>
      <c r="AD26" s="789"/>
      <c r="AE26" s="786" t="s">
        <v>138</v>
      </c>
      <c r="AF26" s="786"/>
      <c r="AG26" s="790"/>
      <c r="AH26" s="777" t="s">
        <v>149</v>
      </c>
      <c r="AI26" s="777"/>
      <c r="AJ26" s="777"/>
      <c r="AK26" s="791" t="s">
        <v>126</v>
      </c>
      <c r="AL26" s="788"/>
      <c r="AM26" s="788"/>
    </row>
    <row r="27" spans="3:39">
      <c r="C27" s="2622"/>
      <c r="D27" s="2622"/>
      <c r="E27" s="2619"/>
      <c r="F27" s="2618"/>
      <c r="G27" s="2619"/>
      <c r="H27" s="2618"/>
      <c r="I27" s="2619"/>
      <c r="J27" s="2618"/>
      <c r="K27" s="2619"/>
      <c r="L27" s="2618"/>
      <c r="M27" s="2618"/>
      <c r="N27" s="2618"/>
      <c r="O27" s="2618"/>
      <c r="P27" s="2618"/>
      <c r="Q27" s="792">
        <v>44604</v>
      </c>
      <c r="R27" s="793"/>
      <c r="S27" s="793"/>
      <c r="T27" s="793"/>
      <c r="U27" s="793" t="s">
        <v>1984</v>
      </c>
      <c r="V27" s="794">
        <v>45869</v>
      </c>
      <c r="W27" s="794"/>
      <c r="X27" s="794"/>
      <c r="Y27" s="795"/>
      <c r="Z27" s="796">
        <v>44604</v>
      </c>
      <c r="AA27" s="797"/>
      <c r="AB27" s="798" t="s">
        <v>1984</v>
      </c>
      <c r="AC27" s="799">
        <v>46850</v>
      </c>
      <c r="AD27" s="800"/>
      <c r="AE27" s="801">
        <v>43831</v>
      </c>
      <c r="AF27" s="802" t="s">
        <v>1984</v>
      </c>
      <c r="AG27" s="801">
        <v>45657</v>
      </c>
      <c r="AH27" s="803">
        <v>43831</v>
      </c>
      <c r="AI27" s="802" t="s">
        <v>1984</v>
      </c>
      <c r="AJ27" s="804">
        <v>45657</v>
      </c>
      <c r="AK27" s="805">
        <v>45383</v>
      </c>
      <c r="AL27" s="806" t="s">
        <v>1984</v>
      </c>
      <c r="AM27" s="807">
        <v>45747</v>
      </c>
    </row>
    <row r="28" spans="3:39">
      <c r="C28" s="2622"/>
      <c r="D28" s="2622">
        <v>32</v>
      </c>
      <c r="E28" s="2619">
        <v>2627.57</v>
      </c>
      <c r="F28" s="2618">
        <f t="shared" ref="F28" si="36">E28*$F$1</f>
        <v>794.83992499999999</v>
      </c>
      <c r="G28" s="2619">
        <v>1124.82</v>
      </c>
      <c r="H28" s="2618">
        <f t="shared" ref="H28" si="37">G28*$H$1</f>
        <v>340.25804999999997</v>
      </c>
      <c r="I28" s="2619">
        <v>2627.57</v>
      </c>
      <c r="J28" s="2618">
        <f t="shared" ref="J28" si="38">I28*$J$1</f>
        <v>794.83992499999999</v>
      </c>
      <c r="K28" s="2619">
        <v>1124.82</v>
      </c>
      <c r="L28" s="2618">
        <f t="shared" ref="L28" si="39">K28*$L$1</f>
        <v>340.25804999999997</v>
      </c>
      <c r="M28" s="2618">
        <f t="shared" ref="M28:P28" si="40">E28-I28</f>
        <v>0</v>
      </c>
      <c r="N28" s="2618">
        <f t="shared" si="40"/>
        <v>0</v>
      </c>
      <c r="O28" s="2618">
        <f t="shared" si="40"/>
        <v>0</v>
      </c>
      <c r="P28" s="2618">
        <f t="shared" si="40"/>
        <v>0</v>
      </c>
      <c r="Q28" s="808" t="s">
        <v>148</v>
      </c>
      <c r="R28" s="808"/>
      <c r="S28" s="808"/>
      <c r="T28" s="808"/>
      <c r="U28" s="808"/>
      <c r="V28" s="808"/>
      <c r="W28" s="808"/>
      <c r="X28" s="777" t="s">
        <v>149</v>
      </c>
      <c r="Y28" s="777"/>
      <c r="Z28" s="777"/>
      <c r="AA28" s="777"/>
      <c r="AB28" s="777"/>
      <c r="AC28" s="788" t="s">
        <v>143</v>
      </c>
      <c r="AD28" s="788"/>
      <c r="AE28" s="788"/>
      <c r="AF28" s="788"/>
      <c r="AG28" s="788"/>
      <c r="AH28" s="777" t="s">
        <v>149</v>
      </c>
      <c r="AI28" s="777"/>
      <c r="AJ28" s="777"/>
      <c r="AK28" s="788" t="s">
        <v>143</v>
      </c>
      <c r="AL28" s="788"/>
      <c r="AM28" s="788"/>
    </row>
    <row r="29" spans="3:39">
      <c r="C29" s="2622"/>
      <c r="D29" s="2622"/>
      <c r="E29" s="2619"/>
      <c r="F29" s="2618"/>
      <c r="G29" s="2619"/>
      <c r="H29" s="2618"/>
      <c r="I29" s="2619"/>
      <c r="J29" s="2618"/>
      <c r="K29" s="2619"/>
      <c r="L29" s="2618"/>
      <c r="M29" s="2618"/>
      <c r="N29" s="2618"/>
      <c r="O29" s="2618"/>
      <c r="P29" s="2618"/>
      <c r="Q29" s="810">
        <v>45352</v>
      </c>
      <c r="R29" s="811"/>
      <c r="S29" s="811"/>
      <c r="T29" s="812" t="s">
        <v>1984</v>
      </c>
      <c r="U29" s="813">
        <v>46446</v>
      </c>
      <c r="V29" s="811"/>
      <c r="W29" s="814"/>
      <c r="X29" s="778">
        <v>43831</v>
      </c>
      <c r="Y29" s="780"/>
      <c r="Z29" s="780" t="s">
        <v>1984</v>
      </c>
      <c r="AA29" s="782">
        <v>45657</v>
      </c>
      <c r="AB29" s="785"/>
      <c r="AC29" s="792">
        <v>44604</v>
      </c>
      <c r="AD29" s="793"/>
      <c r="AE29" s="793" t="s">
        <v>1984</v>
      </c>
      <c r="AF29" s="794">
        <v>45869</v>
      </c>
      <c r="AG29" s="795"/>
      <c r="AH29" s="803">
        <v>43831</v>
      </c>
      <c r="AI29" s="781" t="s">
        <v>1984</v>
      </c>
      <c r="AJ29" s="804">
        <v>45657</v>
      </c>
      <c r="AK29" s="845">
        <v>45505</v>
      </c>
      <c r="AL29" s="835" t="s">
        <v>1984</v>
      </c>
      <c r="AM29" s="807">
        <v>45869</v>
      </c>
    </row>
    <row r="30" spans="3:39">
      <c r="C30" s="2622"/>
      <c r="D30" s="2622">
        <v>31</v>
      </c>
      <c r="E30" s="2619">
        <v>2571.63</v>
      </c>
      <c r="F30" s="2618">
        <f t="shared" ref="F30" si="41">E30*$F$1</f>
        <v>777.91807500000004</v>
      </c>
      <c r="G30" s="2619">
        <v>1124.82</v>
      </c>
      <c r="H30" s="2618">
        <f t="shared" ref="H30" si="42">G30*$H$1</f>
        <v>340.25804999999997</v>
      </c>
      <c r="I30" s="2619">
        <v>2571.63</v>
      </c>
      <c r="J30" s="2618">
        <f t="shared" ref="J30" si="43">I30*$J$1</f>
        <v>777.91807500000004</v>
      </c>
      <c r="K30" s="2619">
        <v>1124.82</v>
      </c>
      <c r="L30" s="2618">
        <f t="shared" ref="L30" si="44">K30*$L$1</f>
        <v>340.25804999999997</v>
      </c>
      <c r="M30" s="2618">
        <f t="shared" ref="M30:P30" si="45">E30-I30</f>
        <v>0</v>
      </c>
      <c r="N30" s="2618">
        <f t="shared" si="45"/>
        <v>0</v>
      </c>
      <c r="O30" s="2618">
        <f t="shared" si="45"/>
        <v>0</v>
      </c>
      <c r="P30" s="2618">
        <f t="shared" si="45"/>
        <v>0</v>
      </c>
      <c r="Q30" s="816" t="s">
        <v>139</v>
      </c>
      <c r="R30" s="816"/>
      <c r="S30" s="816"/>
      <c r="T30" s="816"/>
      <c r="U30" s="816"/>
      <c r="V30" s="816"/>
      <c r="W30" s="816"/>
      <c r="X30" s="816"/>
      <c r="Y30" s="816"/>
      <c r="Z30" s="816"/>
      <c r="AA30" s="816"/>
      <c r="AB30" s="816"/>
      <c r="AC30" s="816"/>
      <c r="AD30" s="816"/>
      <c r="AE30" s="816"/>
      <c r="AF30" s="816"/>
      <c r="AG30" s="816"/>
      <c r="AH30" s="816"/>
      <c r="AI30" s="816"/>
      <c r="AJ30" s="816"/>
      <c r="AK30" s="816"/>
      <c r="AL30" s="816"/>
      <c r="AM30" s="816"/>
    </row>
    <row r="31" spans="3:39">
      <c r="C31" s="2622"/>
      <c r="D31" s="2622"/>
      <c r="E31" s="2619"/>
      <c r="F31" s="2618"/>
      <c r="G31" s="2619"/>
      <c r="H31" s="2618"/>
      <c r="I31" s="2619"/>
      <c r="J31" s="2618"/>
      <c r="K31" s="2619"/>
      <c r="L31" s="2618"/>
      <c r="M31" s="2618"/>
      <c r="N31" s="2618"/>
      <c r="O31" s="2618"/>
      <c r="P31" s="2618"/>
      <c r="Q31" s="817">
        <v>44348</v>
      </c>
      <c r="R31" s="818"/>
      <c r="S31" s="818"/>
      <c r="T31" s="818"/>
      <c r="U31" s="818"/>
      <c r="V31" s="818"/>
      <c r="W31" s="818"/>
      <c r="X31" s="818"/>
      <c r="Y31" s="818"/>
      <c r="Z31" s="818"/>
      <c r="AA31" s="818"/>
      <c r="AB31" s="818" t="s">
        <v>1984</v>
      </c>
      <c r="AC31" s="819">
        <v>46173</v>
      </c>
      <c r="AD31" s="818"/>
      <c r="AE31" s="818"/>
      <c r="AF31" s="818"/>
      <c r="AG31" s="818"/>
      <c r="AH31" s="818"/>
      <c r="AI31" s="818"/>
      <c r="AJ31" s="818"/>
      <c r="AK31" s="818"/>
      <c r="AL31" s="818"/>
      <c r="AM31" s="820"/>
    </row>
    <row r="32" spans="3:39">
      <c r="C32" s="2622"/>
      <c r="D32" s="2622">
        <v>30</v>
      </c>
      <c r="E32" s="2619">
        <v>2169.64</v>
      </c>
      <c r="F32" s="2618">
        <f t="shared" ref="F32" si="46">E32*$F$1</f>
        <v>656.31609999999989</v>
      </c>
      <c r="G32" s="2619">
        <v>940.19</v>
      </c>
      <c r="H32" s="2618">
        <f t="shared" ref="H32" si="47">G32*$H$1</f>
        <v>284.40747500000003</v>
      </c>
      <c r="I32" s="2619">
        <v>2169.64</v>
      </c>
      <c r="J32" s="2618">
        <f t="shared" ref="J32" si="48">I32*$J$1</f>
        <v>656.31609999999989</v>
      </c>
      <c r="K32" s="2619">
        <v>940.19</v>
      </c>
      <c r="L32" s="2618">
        <f t="shared" ref="L32" si="49">K32*$L$1</f>
        <v>284.40747500000003</v>
      </c>
      <c r="M32" s="2618">
        <f t="shared" ref="M32:P32" si="50">E32-I32</f>
        <v>0</v>
      </c>
      <c r="N32" s="2618">
        <f t="shared" si="50"/>
        <v>0</v>
      </c>
      <c r="O32" s="2618">
        <f t="shared" si="50"/>
        <v>0</v>
      </c>
      <c r="P32" s="2618">
        <f t="shared" si="50"/>
        <v>0</v>
      </c>
      <c r="Q32" s="816" t="s">
        <v>139</v>
      </c>
      <c r="R32" s="816"/>
      <c r="S32" s="816"/>
      <c r="T32" s="816"/>
      <c r="U32" s="816"/>
      <c r="V32" s="816"/>
      <c r="W32" s="816"/>
      <c r="X32" s="816"/>
      <c r="Y32" s="816"/>
      <c r="Z32" s="816"/>
      <c r="AA32" s="816"/>
      <c r="AB32" s="816"/>
      <c r="AC32" s="816"/>
      <c r="AD32" s="816"/>
      <c r="AE32" s="816"/>
      <c r="AF32" s="816"/>
      <c r="AG32" s="816"/>
      <c r="AH32" s="816"/>
      <c r="AI32" s="816"/>
      <c r="AJ32" s="821"/>
      <c r="AK32" s="822" t="s">
        <v>1985</v>
      </c>
      <c r="AL32" s="822"/>
      <c r="AM32" s="822"/>
    </row>
    <row r="33" spans="3:39">
      <c r="C33" s="2622"/>
      <c r="D33" s="2622"/>
      <c r="E33" s="2619"/>
      <c r="F33" s="2618"/>
      <c r="G33" s="2619"/>
      <c r="H33" s="2618"/>
      <c r="I33" s="2619"/>
      <c r="J33" s="2618"/>
      <c r="K33" s="2619"/>
      <c r="L33" s="2618"/>
      <c r="M33" s="2618"/>
      <c r="N33" s="2618"/>
      <c r="O33" s="2618"/>
      <c r="P33" s="2618"/>
      <c r="Q33" s="817">
        <v>44348</v>
      </c>
      <c r="R33" s="818"/>
      <c r="S33" s="818"/>
      <c r="T33" s="818"/>
      <c r="U33" s="818"/>
      <c r="V33" s="818"/>
      <c r="W33" s="818"/>
      <c r="X33" s="818"/>
      <c r="Y33" s="818"/>
      <c r="Z33" s="818" t="s">
        <v>1984</v>
      </c>
      <c r="AA33" s="818"/>
      <c r="AB33" s="819">
        <v>46173</v>
      </c>
      <c r="AC33" s="819"/>
      <c r="AD33" s="818"/>
      <c r="AE33" s="818"/>
      <c r="AF33" s="818"/>
      <c r="AG33" s="818"/>
      <c r="AH33" s="818"/>
      <c r="AI33" s="818"/>
      <c r="AJ33" s="818"/>
      <c r="AK33" s="823"/>
      <c r="AL33" s="824"/>
      <c r="AM33" s="825"/>
    </row>
    <row r="34" spans="3:39">
      <c r="C34" s="2622"/>
      <c r="D34" s="2622">
        <v>29</v>
      </c>
      <c r="E34" s="2619">
        <v>2597.09</v>
      </c>
      <c r="F34" s="2618">
        <f t="shared" ref="F34" si="51">E34*$F$1</f>
        <v>785.61972500000002</v>
      </c>
      <c r="G34" s="2619">
        <v>1122.6199999999999</v>
      </c>
      <c r="H34" s="2618">
        <f t="shared" ref="H34" si="52">G34*$H$1</f>
        <v>339.59254999999996</v>
      </c>
      <c r="I34" s="2619">
        <v>2597.09</v>
      </c>
      <c r="J34" s="2618">
        <f t="shared" ref="J34" si="53">I34*$J$1</f>
        <v>785.61972500000002</v>
      </c>
      <c r="K34" s="2619">
        <v>1122.6199999999999</v>
      </c>
      <c r="L34" s="2618">
        <f t="shared" ref="L34" si="54">K34*$L$1</f>
        <v>339.59254999999996</v>
      </c>
      <c r="M34" s="2618">
        <f t="shared" ref="M34:P34" si="55">E34-I34</f>
        <v>0</v>
      </c>
      <c r="N34" s="2618">
        <f t="shared" si="55"/>
        <v>0</v>
      </c>
      <c r="O34" s="2618">
        <f t="shared" si="55"/>
        <v>0</v>
      </c>
      <c r="P34" s="2618">
        <f t="shared" si="55"/>
        <v>0</v>
      </c>
      <c r="Q34" s="816" t="s">
        <v>139</v>
      </c>
      <c r="R34" s="816"/>
      <c r="S34" s="816"/>
      <c r="T34" s="816"/>
      <c r="U34" s="816"/>
      <c r="V34" s="816"/>
      <c r="W34" s="816"/>
      <c r="X34" s="816"/>
      <c r="Y34" s="816"/>
      <c r="Z34" s="816"/>
      <c r="AA34" s="816"/>
      <c r="AB34" s="816"/>
      <c r="AC34" s="816"/>
      <c r="AD34" s="816"/>
      <c r="AE34" s="816"/>
      <c r="AF34" s="816"/>
      <c r="AG34" s="816"/>
      <c r="AH34" s="816"/>
      <c r="AI34" s="816"/>
      <c r="AJ34" s="816"/>
      <c r="AK34" s="816"/>
      <c r="AL34" s="816"/>
      <c r="AM34" s="816"/>
    </row>
    <row r="35" spans="3:39">
      <c r="C35" s="2622"/>
      <c r="D35" s="2622"/>
      <c r="E35" s="2619"/>
      <c r="F35" s="2618"/>
      <c r="G35" s="2619"/>
      <c r="H35" s="2618"/>
      <c r="I35" s="2619"/>
      <c r="J35" s="2618"/>
      <c r="K35" s="2619"/>
      <c r="L35" s="2618"/>
      <c r="M35" s="2618"/>
      <c r="N35" s="2618"/>
      <c r="O35" s="2618"/>
      <c r="P35" s="2618"/>
      <c r="Q35" s="817">
        <v>44348</v>
      </c>
      <c r="R35" s="818"/>
      <c r="S35" s="818"/>
      <c r="T35" s="818"/>
      <c r="U35" s="818"/>
      <c r="V35" s="818"/>
      <c r="W35" s="818"/>
      <c r="X35" s="818"/>
      <c r="Y35" s="818"/>
      <c r="Z35" s="818"/>
      <c r="AA35" s="818"/>
      <c r="AB35" s="818" t="s">
        <v>1984</v>
      </c>
      <c r="AC35" s="819">
        <v>46173</v>
      </c>
      <c r="AD35" s="818"/>
      <c r="AE35" s="818"/>
      <c r="AF35" s="818"/>
      <c r="AG35" s="818"/>
      <c r="AH35" s="818"/>
      <c r="AI35" s="818"/>
      <c r="AJ35" s="818"/>
      <c r="AK35" s="818"/>
      <c r="AL35" s="818"/>
      <c r="AM35" s="820"/>
    </row>
    <row r="36" spans="3:39" ht="36" customHeight="1">
      <c r="C36" s="1860" t="s">
        <v>1817</v>
      </c>
      <c r="D36" s="1860"/>
      <c r="E36" s="1861">
        <f>SUM(E12:E35)</f>
        <v>31006.55</v>
      </c>
      <c r="F36" s="1861">
        <f t="shared" ref="F36:P36" si="56">SUM(F12:F35)</f>
        <v>9379.4813750000012</v>
      </c>
      <c r="G36" s="1861">
        <f t="shared" si="56"/>
        <v>13319.119999999999</v>
      </c>
      <c r="H36" s="1861">
        <f t="shared" si="56"/>
        <v>4029.0337999999992</v>
      </c>
      <c r="I36" s="1861">
        <f t="shared" si="56"/>
        <v>31006.55</v>
      </c>
      <c r="J36" s="1861">
        <f t="shared" si="56"/>
        <v>9379.4813750000012</v>
      </c>
      <c r="K36" s="1861">
        <f t="shared" si="56"/>
        <v>13319.119999999999</v>
      </c>
      <c r="L36" s="1861">
        <f t="shared" si="56"/>
        <v>4029.0337999999992</v>
      </c>
      <c r="M36" s="1861">
        <f t="shared" si="56"/>
        <v>0</v>
      </c>
      <c r="N36" s="1861">
        <f t="shared" si="56"/>
        <v>0</v>
      </c>
      <c r="O36" s="1861">
        <f t="shared" si="56"/>
        <v>0</v>
      </c>
      <c r="P36" s="1861">
        <f t="shared" si="56"/>
        <v>0</v>
      </c>
      <c r="Q36" s="2253"/>
      <c r="R36" s="2254"/>
      <c r="S36" s="2254"/>
      <c r="T36" s="2254"/>
      <c r="U36" s="2254"/>
      <c r="V36" s="2254"/>
      <c r="W36" s="2254"/>
      <c r="X36" s="2254"/>
      <c r="Y36" s="2254"/>
      <c r="Z36" s="2254"/>
      <c r="AA36" s="2254"/>
      <c r="AB36" s="2254"/>
      <c r="AC36" s="2254"/>
      <c r="AD36" s="2254"/>
      <c r="AE36" s="2254"/>
      <c r="AF36" s="2254"/>
      <c r="AG36" s="2254"/>
      <c r="AH36" s="2254"/>
      <c r="AI36" s="2254"/>
      <c r="AJ36" s="2254"/>
      <c r="AK36" s="2254"/>
      <c r="AL36" s="2254"/>
      <c r="AM36" s="2255"/>
    </row>
    <row r="37" spans="3:39">
      <c r="C37" s="2622" t="s">
        <v>1819</v>
      </c>
      <c r="D37" s="2622">
        <v>28</v>
      </c>
      <c r="E37" s="2619">
        <v>2334.2399999999998</v>
      </c>
      <c r="F37" s="2618">
        <f t="shared" ref="F37:L55" si="57">E37*$F$1</f>
        <v>706.10759999999993</v>
      </c>
      <c r="G37" s="2619">
        <v>872</v>
      </c>
      <c r="H37" s="2618">
        <f t="shared" si="57"/>
        <v>263.77999999999997</v>
      </c>
      <c r="I37" s="2619">
        <v>2334.2399999999998</v>
      </c>
      <c r="J37" s="2618">
        <f t="shared" si="57"/>
        <v>706.10759999999993</v>
      </c>
      <c r="K37" s="2619">
        <v>872</v>
      </c>
      <c r="L37" s="2618">
        <f t="shared" si="57"/>
        <v>263.77999999999997</v>
      </c>
      <c r="M37" s="2618">
        <f t="shared" ref="M37:P37" si="58">E37-I37</f>
        <v>0</v>
      </c>
      <c r="N37" s="2618">
        <f t="shared" si="58"/>
        <v>0</v>
      </c>
      <c r="O37" s="2618">
        <f t="shared" si="58"/>
        <v>0</v>
      </c>
      <c r="P37" s="2618">
        <f t="shared" si="58"/>
        <v>0</v>
      </c>
      <c r="Q37" s="816" t="s">
        <v>139</v>
      </c>
      <c r="R37" s="816"/>
      <c r="S37" s="816"/>
      <c r="T37" s="816"/>
      <c r="U37" s="816"/>
      <c r="V37" s="816"/>
      <c r="W37" s="816"/>
      <c r="X37" s="816"/>
      <c r="Y37" s="821"/>
      <c r="Z37" s="816" t="s">
        <v>139</v>
      </c>
      <c r="AA37" s="821"/>
      <c r="AB37" s="816"/>
      <c r="AC37" s="816"/>
      <c r="AD37" s="816"/>
      <c r="AE37" s="816"/>
      <c r="AF37" s="816"/>
      <c r="AG37" s="821" t="s">
        <v>129</v>
      </c>
      <c r="AH37" s="826"/>
      <c r="AI37" s="826"/>
      <c r="AJ37" s="826"/>
      <c r="AK37" s="827"/>
      <c r="AL37" s="822" t="s">
        <v>1986</v>
      </c>
      <c r="AM37" s="822"/>
    </row>
    <row r="38" spans="3:39">
      <c r="C38" s="2622"/>
      <c r="D38" s="2622"/>
      <c r="E38" s="2619"/>
      <c r="F38" s="2618"/>
      <c r="G38" s="2619"/>
      <c r="H38" s="2618"/>
      <c r="I38" s="2619"/>
      <c r="J38" s="2618"/>
      <c r="K38" s="2619"/>
      <c r="L38" s="2618"/>
      <c r="M38" s="2618"/>
      <c r="N38" s="2618"/>
      <c r="O38" s="2618"/>
      <c r="P38" s="2618"/>
      <c r="Q38" s="817">
        <v>44348</v>
      </c>
      <c r="R38" s="818"/>
      <c r="S38" s="818"/>
      <c r="T38" s="818" t="s">
        <v>1984</v>
      </c>
      <c r="U38" s="818"/>
      <c r="V38" s="819">
        <v>46173</v>
      </c>
      <c r="W38" s="819"/>
      <c r="X38" s="818"/>
      <c r="Y38" s="818"/>
      <c r="Z38" s="817">
        <v>44541</v>
      </c>
      <c r="AA38" s="818"/>
      <c r="AB38" s="817"/>
      <c r="AC38" s="828" t="s">
        <v>1984</v>
      </c>
      <c r="AD38" s="819">
        <v>46173</v>
      </c>
      <c r="AE38" s="819"/>
      <c r="AF38" s="829"/>
      <c r="AG38" s="817">
        <v>44541</v>
      </c>
      <c r="AH38" s="818"/>
      <c r="AI38" s="818" t="s">
        <v>1984</v>
      </c>
      <c r="AJ38" s="819">
        <v>46366</v>
      </c>
      <c r="AK38" s="820"/>
      <c r="AL38" s="830"/>
      <c r="AM38" s="831"/>
    </row>
    <row r="39" spans="3:39">
      <c r="C39" s="2622"/>
      <c r="D39" s="2622">
        <v>27</v>
      </c>
      <c r="E39" s="2619">
        <v>2597.09</v>
      </c>
      <c r="F39" s="2618">
        <f t="shared" si="57"/>
        <v>785.61972500000002</v>
      </c>
      <c r="G39" s="2619">
        <v>973.77</v>
      </c>
      <c r="H39" s="2618">
        <f t="shared" si="57"/>
        <v>294.565425</v>
      </c>
      <c r="I39" s="2619">
        <v>2597.09</v>
      </c>
      <c r="J39" s="2618">
        <f t="shared" si="57"/>
        <v>785.61972500000002</v>
      </c>
      <c r="K39" s="2619">
        <v>973.77</v>
      </c>
      <c r="L39" s="2618">
        <f t="shared" si="57"/>
        <v>294.565425</v>
      </c>
      <c r="M39" s="2618">
        <f t="shared" ref="M39:P39" si="59">E39-I39</f>
        <v>0</v>
      </c>
      <c r="N39" s="2618">
        <f t="shared" si="59"/>
        <v>0</v>
      </c>
      <c r="O39" s="2618">
        <f t="shared" si="59"/>
        <v>0</v>
      </c>
      <c r="P39" s="2618">
        <f t="shared" si="59"/>
        <v>0</v>
      </c>
      <c r="Q39" s="816" t="s">
        <v>147</v>
      </c>
      <c r="R39" s="816"/>
      <c r="S39" s="816"/>
      <c r="T39" s="816"/>
      <c r="U39" s="816"/>
      <c r="V39" s="816"/>
      <c r="W39" s="816"/>
      <c r="X39" s="816"/>
      <c r="Y39" s="816"/>
      <c r="Z39" s="816"/>
      <c r="AA39" s="816"/>
      <c r="AB39" s="816"/>
      <c r="AC39" s="816"/>
      <c r="AD39" s="816"/>
      <c r="AE39" s="816"/>
      <c r="AF39" s="816"/>
      <c r="AG39" s="816"/>
      <c r="AH39" s="816"/>
      <c r="AI39" s="816"/>
      <c r="AJ39" s="816"/>
      <c r="AK39" s="816"/>
      <c r="AL39" s="816"/>
      <c r="AM39" s="816"/>
    </row>
    <row r="40" spans="3:39">
      <c r="C40" s="2622"/>
      <c r="D40" s="2622"/>
      <c r="E40" s="2619"/>
      <c r="F40" s="2618"/>
      <c r="G40" s="2619"/>
      <c r="H40" s="2618"/>
      <c r="I40" s="2619"/>
      <c r="J40" s="2618"/>
      <c r="K40" s="2619"/>
      <c r="L40" s="2618"/>
      <c r="M40" s="2618"/>
      <c r="N40" s="2618"/>
      <c r="O40" s="2618"/>
      <c r="P40" s="2618"/>
      <c r="Q40" s="817">
        <v>45261</v>
      </c>
      <c r="R40" s="818"/>
      <c r="S40" s="818"/>
      <c r="T40" s="818"/>
      <c r="U40" s="818"/>
      <c r="V40" s="818"/>
      <c r="W40" s="818"/>
      <c r="X40" s="818"/>
      <c r="Y40" s="818"/>
      <c r="Z40" s="818"/>
      <c r="AA40" s="818"/>
      <c r="AB40" s="828" t="s">
        <v>1984</v>
      </c>
      <c r="AC40" s="819">
        <v>46356</v>
      </c>
      <c r="AD40" s="818"/>
      <c r="AE40" s="818"/>
      <c r="AF40" s="818"/>
      <c r="AG40" s="818"/>
      <c r="AH40" s="818"/>
      <c r="AI40" s="818"/>
      <c r="AJ40" s="818"/>
      <c r="AK40" s="818"/>
      <c r="AL40" s="818"/>
      <c r="AM40" s="820"/>
    </row>
    <row r="41" spans="3:39">
      <c r="C41" s="2622"/>
      <c r="D41" s="2622">
        <v>26</v>
      </c>
      <c r="E41" s="2619">
        <v>2122.56</v>
      </c>
      <c r="F41" s="2618">
        <f t="shared" si="57"/>
        <v>642.07439999999997</v>
      </c>
      <c r="G41" s="2619">
        <v>767.7</v>
      </c>
      <c r="H41" s="2618">
        <f t="shared" si="57"/>
        <v>232.22925000000001</v>
      </c>
      <c r="I41" s="2619">
        <v>2122.56</v>
      </c>
      <c r="J41" s="2618">
        <f t="shared" si="57"/>
        <v>642.07439999999997</v>
      </c>
      <c r="K41" s="2619">
        <v>767.7</v>
      </c>
      <c r="L41" s="2618">
        <f t="shared" si="57"/>
        <v>232.22925000000001</v>
      </c>
      <c r="M41" s="2618">
        <f t="shared" ref="M41:P41" si="60">E41-I41</f>
        <v>0</v>
      </c>
      <c r="N41" s="2618">
        <f t="shared" si="60"/>
        <v>0</v>
      </c>
      <c r="O41" s="2618">
        <f t="shared" si="60"/>
        <v>0</v>
      </c>
      <c r="P41" s="2618">
        <f t="shared" si="60"/>
        <v>0</v>
      </c>
      <c r="Q41" s="816" t="s">
        <v>147</v>
      </c>
      <c r="R41" s="816"/>
      <c r="S41" s="816"/>
      <c r="T41" s="816"/>
      <c r="U41" s="816"/>
      <c r="V41" s="816"/>
      <c r="W41" s="816"/>
      <c r="X41" s="816"/>
      <c r="Y41" s="816"/>
      <c r="Z41" s="816"/>
      <c r="AA41" s="816"/>
      <c r="AB41" s="816"/>
      <c r="AC41" s="816"/>
      <c r="AD41" s="816"/>
      <c r="AE41" s="816"/>
      <c r="AF41" s="816"/>
      <c r="AG41" s="816"/>
      <c r="AH41" s="816"/>
      <c r="AI41" s="816"/>
      <c r="AJ41" s="816"/>
      <c r="AK41" s="816"/>
      <c r="AL41" s="816"/>
      <c r="AM41" s="816"/>
    </row>
    <row r="42" spans="3:39">
      <c r="C42" s="2622"/>
      <c r="D42" s="2622"/>
      <c r="E42" s="2619"/>
      <c r="F42" s="2618"/>
      <c r="G42" s="2619"/>
      <c r="H42" s="2618"/>
      <c r="I42" s="2619"/>
      <c r="J42" s="2618"/>
      <c r="K42" s="2619"/>
      <c r="L42" s="2618"/>
      <c r="M42" s="2618"/>
      <c r="N42" s="2618"/>
      <c r="O42" s="2618"/>
      <c r="P42" s="2618"/>
      <c r="Q42" s="817">
        <v>45261</v>
      </c>
      <c r="R42" s="818"/>
      <c r="S42" s="818"/>
      <c r="T42" s="818"/>
      <c r="U42" s="818"/>
      <c r="V42" s="818"/>
      <c r="W42" s="818"/>
      <c r="X42" s="818"/>
      <c r="Y42" s="818"/>
      <c r="Z42" s="818"/>
      <c r="AA42" s="818"/>
      <c r="AB42" s="828" t="s">
        <v>1984</v>
      </c>
      <c r="AC42" s="819">
        <v>46356</v>
      </c>
      <c r="AD42" s="818"/>
      <c r="AE42" s="818"/>
      <c r="AF42" s="818"/>
      <c r="AG42" s="818"/>
      <c r="AH42" s="818"/>
      <c r="AI42" s="818"/>
      <c r="AJ42" s="818"/>
      <c r="AK42" s="818"/>
      <c r="AL42" s="818"/>
      <c r="AM42" s="820"/>
    </row>
    <row r="43" spans="3:39">
      <c r="C43" s="2622"/>
      <c r="D43" s="2622">
        <v>25</v>
      </c>
      <c r="E43" s="2619">
        <v>2597.09</v>
      </c>
      <c r="F43" s="2618">
        <f t="shared" si="57"/>
        <v>785.61972500000002</v>
      </c>
      <c r="G43" s="2619">
        <v>973.77</v>
      </c>
      <c r="H43" s="2618">
        <f t="shared" si="57"/>
        <v>294.565425</v>
      </c>
      <c r="I43" s="2619">
        <v>2597.09</v>
      </c>
      <c r="J43" s="2618">
        <f t="shared" si="57"/>
        <v>785.61972500000002</v>
      </c>
      <c r="K43" s="2619">
        <v>973.77</v>
      </c>
      <c r="L43" s="2618">
        <f t="shared" si="57"/>
        <v>294.565425</v>
      </c>
      <c r="M43" s="2618">
        <f t="shared" ref="M43:P43" si="61">E43-I43</f>
        <v>0</v>
      </c>
      <c r="N43" s="2618">
        <f t="shared" si="61"/>
        <v>0</v>
      </c>
      <c r="O43" s="2618">
        <f t="shared" si="61"/>
        <v>0</v>
      </c>
      <c r="P43" s="2618">
        <f t="shared" si="61"/>
        <v>0</v>
      </c>
      <c r="Q43" s="816" t="s">
        <v>1829</v>
      </c>
      <c r="R43" s="816"/>
      <c r="S43" s="816"/>
      <c r="T43" s="816"/>
      <c r="U43" s="816"/>
      <c r="V43" s="816" t="s">
        <v>147</v>
      </c>
      <c r="W43" s="816"/>
      <c r="X43" s="816"/>
      <c r="Y43" s="816"/>
      <c r="Z43" s="816"/>
      <c r="AA43" s="827" t="s">
        <v>147</v>
      </c>
      <c r="AB43" s="816"/>
      <c r="AC43" s="821"/>
      <c r="AD43" s="788" t="s">
        <v>146</v>
      </c>
      <c r="AE43" s="788"/>
      <c r="AF43" s="788"/>
      <c r="AG43" s="786" t="s">
        <v>149</v>
      </c>
      <c r="AH43" s="777"/>
      <c r="AI43" s="777"/>
      <c r="AJ43" s="832" t="s">
        <v>149</v>
      </c>
      <c r="AK43" s="790"/>
      <c r="AL43" s="790"/>
      <c r="AM43" s="786"/>
    </row>
    <row r="44" spans="3:39">
      <c r="C44" s="2622"/>
      <c r="D44" s="2622"/>
      <c r="E44" s="2619"/>
      <c r="F44" s="2618"/>
      <c r="G44" s="2619"/>
      <c r="H44" s="2618"/>
      <c r="I44" s="2619"/>
      <c r="J44" s="2618"/>
      <c r="K44" s="2619"/>
      <c r="L44" s="2618"/>
      <c r="M44" s="2618"/>
      <c r="N44" s="2618"/>
      <c r="O44" s="2618"/>
      <c r="P44" s="2618"/>
      <c r="Q44" s="817">
        <v>44109</v>
      </c>
      <c r="R44" s="818"/>
      <c r="S44" s="818" t="s">
        <v>1984</v>
      </c>
      <c r="T44" s="819">
        <v>46026</v>
      </c>
      <c r="U44" s="820"/>
      <c r="V44" s="817">
        <v>45261</v>
      </c>
      <c r="W44" s="818"/>
      <c r="X44" s="828" t="s">
        <v>1984</v>
      </c>
      <c r="Y44" s="819">
        <v>46356</v>
      </c>
      <c r="Z44" s="829"/>
      <c r="AA44" s="833">
        <v>45261</v>
      </c>
      <c r="AB44" s="828" t="s">
        <v>1984</v>
      </c>
      <c r="AC44" s="833">
        <v>46356</v>
      </c>
      <c r="AD44" s="834">
        <v>43983</v>
      </c>
      <c r="AE44" s="835" t="s">
        <v>1984</v>
      </c>
      <c r="AF44" s="836">
        <v>45808</v>
      </c>
      <c r="AG44" s="803">
        <v>43831</v>
      </c>
      <c r="AH44" s="781" t="s">
        <v>1984</v>
      </c>
      <c r="AI44" s="804">
        <v>45657</v>
      </c>
      <c r="AJ44" s="803">
        <v>43831</v>
      </c>
      <c r="AK44" s="780" t="s">
        <v>1984</v>
      </c>
      <c r="AL44" s="837"/>
      <c r="AM44" s="838">
        <v>45657</v>
      </c>
    </row>
    <row r="45" spans="3:39">
      <c r="C45" s="2622"/>
      <c r="D45" s="2622">
        <v>24</v>
      </c>
      <c r="E45" s="2619">
        <v>2597.09</v>
      </c>
      <c r="F45" s="2618">
        <f t="shared" si="57"/>
        <v>785.61972500000002</v>
      </c>
      <c r="G45" s="2619">
        <v>973.77</v>
      </c>
      <c r="H45" s="2618">
        <f t="shared" si="57"/>
        <v>294.565425</v>
      </c>
      <c r="I45" s="2619">
        <v>2597.09</v>
      </c>
      <c r="J45" s="2618">
        <f t="shared" si="57"/>
        <v>785.61972500000002</v>
      </c>
      <c r="K45" s="2619">
        <v>973.77</v>
      </c>
      <c r="L45" s="2618">
        <f t="shared" si="57"/>
        <v>294.565425</v>
      </c>
      <c r="M45" s="2618">
        <f t="shared" ref="M45:P45" si="62">E45-I45</f>
        <v>0</v>
      </c>
      <c r="N45" s="2618">
        <f t="shared" si="62"/>
        <v>0</v>
      </c>
      <c r="O45" s="2618">
        <f t="shared" si="62"/>
        <v>0</v>
      </c>
      <c r="P45" s="2618">
        <f t="shared" si="62"/>
        <v>0</v>
      </c>
      <c r="Q45" s="816" t="s">
        <v>2162</v>
      </c>
      <c r="R45" s="816"/>
      <c r="S45" s="816"/>
      <c r="T45" s="816"/>
      <c r="U45" s="816"/>
      <c r="V45" s="816"/>
      <c r="W45" s="816"/>
      <c r="X45" s="816"/>
      <c r="Y45" s="816"/>
      <c r="Z45" s="816"/>
      <c r="AA45" s="816"/>
      <c r="AB45" s="816"/>
      <c r="AC45" s="821"/>
      <c r="AD45" s="816" t="s">
        <v>2162</v>
      </c>
      <c r="AE45" s="816"/>
      <c r="AF45" s="816"/>
      <c r="AG45" s="816"/>
      <c r="AH45" s="816"/>
      <c r="AI45" s="816"/>
      <c r="AJ45" s="816"/>
      <c r="AK45" s="816"/>
      <c r="AL45" s="816"/>
      <c r="AM45" s="816"/>
    </row>
    <row r="46" spans="3:39">
      <c r="C46" s="2622"/>
      <c r="D46" s="2622"/>
      <c r="E46" s="2619"/>
      <c r="F46" s="2618"/>
      <c r="G46" s="2619"/>
      <c r="H46" s="2618"/>
      <c r="I46" s="2619"/>
      <c r="J46" s="2618"/>
      <c r="K46" s="2619"/>
      <c r="L46" s="2618"/>
      <c r="M46" s="2618"/>
      <c r="N46" s="2618"/>
      <c r="O46" s="2618"/>
      <c r="P46" s="2618"/>
      <c r="Q46" s="817">
        <v>44348</v>
      </c>
      <c r="R46" s="818"/>
      <c r="S46" s="818"/>
      <c r="T46" s="818"/>
      <c r="U46" s="818"/>
      <c r="V46" s="818"/>
      <c r="W46" s="818" t="s">
        <v>1984</v>
      </c>
      <c r="X46" s="819">
        <v>46173</v>
      </c>
      <c r="Y46" s="818"/>
      <c r="Z46" s="818"/>
      <c r="AA46" s="818"/>
      <c r="AB46" s="818"/>
      <c r="AC46" s="818"/>
      <c r="AD46" s="817">
        <v>44470</v>
      </c>
      <c r="AE46" s="818"/>
      <c r="AF46" s="818"/>
      <c r="AG46" s="818"/>
      <c r="AH46" s="818" t="s">
        <v>1984</v>
      </c>
      <c r="AI46" s="819"/>
      <c r="AJ46" s="819">
        <v>46295</v>
      </c>
      <c r="AK46" s="818"/>
      <c r="AL46" s="818"/>
      <c r="AM46" s="820"/>
    </row>
    <row r="47" spans="3:39">
      <c r="C47" s="2622"/>
      <c r="D47" s="2622">
        <v>23</v>
      </c>
      <c r="E47" s="2619">
        <v>2597.09</v>
      </c>
      <c r="F47" s="2618">
        <f t="shared" si="57"/>
        <v>785.61972500000002</v>
      </c>
      <c r="G47" s="2619">
        <v>973.77</v>
      </c>
      <c r="H47" s="2618">
        <f t="shared" si="57"/>
        <v>294.565425</v>
      </c>
      <c r="I47" s="2619">
        <v>2597.09</v>
      </c>
      <c r="J47" s="2618">
        <f t="shared" si="57"/>
        <v>785.61972500000002</v>
      </c>
      <c r="K47" s="2619">
        <v>973.77</v>
      </c>
      <c r="L47" s="2618">
        <f t="shared" si="57"/>
        <v>294.565425</v>
      </c>
      <c r="M47" s="2618">
        <f t="shared" ref="M47:P47" si="63">E47-I47</f>
        <v>0</v>
      </c>
      <c r="N47" s="2618">
        <f t="shared" si="63"/>
        <v>0</v>
      </c>
      <c r="O47" s="2618">
        <f t="shared" si="63"/>
        <v>0</v>
      </c>
      <c r="P47" s="2618">
        <f t="shared" si="63"/>
        <v>0</v>
      </c>
      <c r="Q47" s="788" t="s">
        <v>144</v>
      </c>
      <c r="R47" s="788"/>
      <c r="S47" s="788"/>
      <c r="T47" s="788"/>
      <c r="U47" s="788"/>
      <c r="V47" s="788"/>
      <c r="W47" s="791"/>
      <c r="X47" s="839" t="s">
        <v>161</v>
      </c>
      <c r="Y47" s="808"/>
      <c r="Z47" s="808"/>
      <c r="AA47" s="808"/>
      <c r="AB47" s="840"/>
      <c r="AC47" s="808"/>
      <c r="AD47" s="808"/>
      <c r="AE47" s="788" t="s">
        <v>126</v>
      </c>
      <c r="AF47" s="788"/>
      <c r="AG47" s="788"/>
      <c r="AH47" s="791"/>
      <c r="AI47" s="791"/>
      <c r="AJ47" s="839" t="s">
        <v>161</v>
      </c>
      <c r="AK47" s="808"/>
      <c r="AL47" s="808"/>
      <c r="AM47" s="808"/>
    </row>
    <row r="48" spans="3:39">
      <c r="C48" s="2622"/>
      <c r="D48" s="2622"/>
      <c r="E48" s="2619"/>
      <c r="F48" s="2618"/>
      <c r="G48" s="2619"/>
      <c r="H48" s="2618"/>
      <c r="I48" s="2619"/>
      <c r="J48" s="2618"/>
      <c r="K48" s="2619"/>
      <c r="L48" s="2618"/>
      <c r="M48" s="2618"/>
      <c r="N48" s="2618"/>
      <c r="O48" s="2618"/>
      <c r="P48" s="2618"/>
      <c r="Q48" s="792">
        <v>44044</v>
      </c>
      <c r="R48" s="793"/>
      <c r="S48" s="793" t="s">
        <v>1984</v>
      </c>
      <c r="T48" s="793"/>
      <c r="U48" s="793"/>
      <c r="V48" s="841">
        <v>45869</v>
      </c>
      <c r="W48" s="842"/>
      <c r="X48" s="843">
        <v>45368</v>
      </c>
      <c r="Y48" s="813"/>
      <c r="Z48" s="844"/>
      <c r="AA48" s="812" t="s">
        <v>1984</v>
      </c>
      <c r="AB48" s="843">
        <v>46462</v>
      </c>
      <c r="AC48" s="810"/>
      <c r="AD48" s="811"/>
      <c r="AE48" s="845">
        <v>45383</v>
      </c>
      <c r="AF48" s="793"/>
      <c r="AG48" s="794" t="s">
        <v>1984</v>
      </c>
      <c r="AH48" s="846">
        <v>45747</v>
      </c>
      <c r="AI48" s="842"/>
      <c r="AJ48" s="847">
        <v>45368</v>
      </c>
      <c r="AK48" s="811" t="s">
        <v>1984</v>
      </c>
      <c r="AL48" s="844"/>
      <c r="AM48" s="848">
        <v>46462</v>
      </c>
    </row>
    <row r="49" spans="3:39">
      <c r="C49" s="2622"/>
      <c r="D49" s="2622">
        <v>22</v>
      </c>
      <c r="E49" s="2619">
        <v>2597.09</v>
      </c>
      <c r="F49" s="2618">
        <f t="shared" si="57"/>
        <v>785.61972500000002</v>
      </c>
      <c r="G49" s="2619">
        <v>1122.6199999999999</v>
      </c>
      <c r="H49" s="2618">
        <f t="shared" si="57"/>
        <v>339.59254999999996</v>
      </c>
      <c r="I49" s="2619">
        <v>2597.09</v>
      </c>
      <c r="J49" s="2618">
        <f t="shared" si="57"/>
        <v>785.61972500000002</v>
      </c>
      <c r="K49" s="2619">
        <v>1122.6199999999999</v>
      </c>
      <c r="L49" s="2618">
        <f t="shared" si="57"/>
        <v>339.59254999999996</v>
      </c>
      <c r="M49" s="2618">
        <f t="shared" ref="M49:P49" si="64">E49-I49</f>
        <v>0</v>
      </c>
      <c r="N49" s="2618">
        <f t="shared" si="64"/>
        <v>0</v>
      </c>
      <c r="O49" s="2618">
        <f t="shared" si="64"/>
        <v>0</v>
      </c>
      <c r="P49" s="2618">
        <f t="shared" si="64"/>
        <v>0</v>
      </c>
      <c r="Q49" s="808" t="s">
        <v>161</v>
      </c>
      <c r="R49" s="808"/>
      <c r="S49" s="808"/>
      <c r="T49" s="808"/>
      <c r="U49" s="808"/>
      <c r="V49" s="808"/>
      <c r="W49" s="808"/>
      <c r="X49" s="808"/>
      <c r="Y49" s="808"/>
      <c r="Z49" s="808"/>
      <c r="AA49" s="808"/>
      <c r="AB49" s="808"/>
      <c r="AC49" s="808"/>
      <c r="AD49" s="808"/>
      <c r="AE49" s="808"/>
      <c r="AF49" s="808"/>
      <c r="AG49" s="808"/>
      <c r="AH49" s="808"/>
      <c r="AI49" s="808"/>
      <c r="AJ49" s="808"/>
      <c r="AK49" s="808"/>
      <c r="AL49" s="808"/>
      <c r="AM49" s="808"/>
    </row>
    <row r="50" spans="3:39">
      <c r="C50" s="2622"/>
      <c r="D50" s="2622"/>
      <c r="E50" s="2619"/>
      <c r="F50" s="2618"/>
      <c r="G50" s="2619"/>
      <c r="H50" s="2618"/>
      <c r="I50" s="2619"/>
      <c r="J50" s="2618"/>
      <c r="K50" s="2619"/>
      <c r="L50" s="2618"/>
      <c r="M50" s="2618"/>
      <c r="N50" s="2618"/>
      <c r="O50" s="2618"/>
      <c r="P50" s="2618"/>
      <c r="Q50" s="810">
        <v>45368</v>
      </c>
      <c r="R50" s="811"/>
      <c r="S50" s="811"/>
      <c r="T50" s="811"/>
      <c r="U50" s="811"/>
      <c r="V50" s="811"/>
      <c r="W50" s="811"/>
      <c r="X50" s="811"/>
      <c r="Y50" s="811"/>
      <c r="Z50" s="811"/>
      <c r="AA50" s="811"/>
      <c r="AB50" s="812" t="s">
        <v>1984</v>
      </c>
      <c r="AC50" s="813">
        <v>46462</v>
      </c>
      <c r="AD50" s="811"/>
      <c r="AE50" s="811"/>
      <c r="AF50" s="811"/>
      <c r="AG50" s="811"/>
      <c r="AH50" s="811"/>
      <c r="AI50" s="811"/>
      <c r="AJ50" s="811"/>
      <c r="AK50" s="811"/>
      <c r="AL50" s="811"/>
      <c r="AM50" s="814"/>
    </row>
    <row r="51" spans="3:39">
      <c r="C51" s="2622"/>
      <c r="D51" s="2622">
        <v>21</v>
      </c>
      <c r="E51" s="2619">
        <v>2597.09</v>
      </c>
      <c r="F51" s="2618">
        <f t="shared" si="57"/>
        <v>785.61972500000002</v>
      </c>
      <c r="G51" s="2619">
        <v>973.77</v>
      </c>
      <c r="H51" s="2618">
        <f t="shared" si="57"/>
        <v>294.565425</v>
      </c>
      <c r="I51" s="2619">
        <v>2597.09</v>
      </c>
      <c r="J51" s="2618">
        <f t="shared" si="57"/>
        <v>785.61972500000002</v>
      </c>
      <c r="K51" s="2619">
        <v>973.77</v>
      </c>
      <c r="L51" s="2618">
        <f t="shared" si="57"/>
        <v>294.565425</v>
      </c>
      <c r="M51" s="2618">
        <f t="shared" ref="M51:P51" si="65">E51-I51</f>
        <v>0</v>
      </c>
      <c r="N51" s="2618">
        <f t="shared" si="65"/>
        <v>0</v>
      </c>
      <c r="O51" s="2618">
        <f t="shared" si="65"/>
        <v>0</v>
      </c>
      <c r="P51" s="2618">
        <f t="shared" si="65"/>
        <v>0</v>
      </c>
      <c r="Q51" s="788" t="s">
        <v>143</v>
      </c>
      <c r="R51" s="788"/>
      <c r="S51" s="788"/>
      <c r="T51" s="788"/>
      <c r="U51" s="788"/>
      <c r="V51" s="788"/>
      <c r="W51" s="788"/>
      <c r="X51" s="788"/>
      <c r="Y51" s="788"/>
      <c r="Z51" s="788"/>
      <c r="AA51" s="788"/>
      <c r="AB51" s="788"/>
      <c r="AC51" s="788"/>
      <c r="AD51" s="788"/>
      <c r="AE51" s="788"/>
      <c r="AF51" s="788"/>
      <c r="AG51" s="788"/>
      <c r="AH51" s="788"/>
      <c r="AI51" s="791" t="s">
        <v>142</v>
      </c>
      <c r="AJ51" s="788"/>
      <c r="AK51" s="788"/>
      <c r="AL51" s="788"/>
      <c r="AM51" s="788"/>
    </row>
    <row r="52" spans="3:39">
      <c r="C52" s="2622"/>
      <c r="D52" s="2622"/>
      <c r="E52" s="2619"/>
      <c r="F52" s="2618"/>
      <c r="G52" s="2619"/>
      <c r="H52" s="2618"/>
      <c r="I52" s="2619"/>
      <c r="J52" s="2618"/>
      <c r="K52" s="2619"/>
      <c r="L52" s="2618"/>
      <c r="M52" s="2618"/>
      <c r="N52" s="2618"/>
      <c r="O52" s="2618"/>
      <c r="P52" s="2618"/>
      <c r="Q52" s="792">
        <v>44604</v>
      </c>
      <c r="R52" s="793"/>
      <c r="S52" s="793"/>
      <c r="T52" s="793"/>
      <c r="U52" s="793"/>
      <c r="V52" s="793"/>
      <c r="W52" s="793"/>
      <c r="X52" s="793"/>
      <c r="Y52" s="793" t="s">
        <v>1984</v>
      </c>
      <c r="Z52" s="849"/>
      <c r="AA52" s="794">
        <v>45869</v>
      </c>
      <c r="AB52" s="793"/>
      <c r="AC52" s="793"/>
      <c r="AD52" s="793"/>
      <c r="AE52" s="793"/>
      <c r="AF52" s="793"/>
      <c r="AG52" s="793"/>
      <c r="AH52" s="795"/>
      <c r="AI52" s="794">
        <v>44287</v>
      </c>
      <c r="AJ52" s="793"/>
      <c r="AK52" s="835" t="s">
        <v>1984</v>
      </c>
      <c r="AL52" s="794">
        <v>45869</v>
      </c>
      <c r="AM52" s="795"/>
    </row>
    <row r="53" spans="3:39">
      <c r="C53" s="2622"/>
      <c r="D53" s="2622">
        <v>20</v>
      </c>
      <c r="E53" s="2619">
        <v>2534.4899999999998</v>
      </c>
      <c r="F53" s="2618">
        <f t="shared" si="57"/>
        <v>766.68322499999988</v>
      </c>
      <c r="G53" s="2619">
        <v>973.84</v>
      </c>
      <c r="H53" s="2618">
        <f t="shared" si="57"/>
        <v>294.58659999999998</v>
      </c>
      <c r="I53" s="2619">
        <v>2534.4899999999998</v>
      </c>
      <c r="J53" s="2618">
        <f t="shared" si="57"/>
        <v>766.68322499999988</v>
      </c>
      <c r="K53" s="2619">
        <v>973.84</v>
      </c>
      <c r="L53" s="2618">
        <f t="shared" si="57"/>
        <v>294.58659999999998</v>
      </c>
      <c r="M53" s="2618">
        <f t="shared" ref="M53:P53" si="66">E53-I53</f>
        <v>0</v>
      </c>
      <c r="N53" s="2618">
        <f t="shared" si="66"/>
        <v>0</v>
      </c>
      <c r="O53" s="2618">
        <f t="shared" si="66"/>
        <v>0</v>
      </c>
      <c r="P53" s="2618">
        <f t="shared" si="66"/>
        <v>0</v>
      </c>
      <c r="Q53" s="816" t="s">
        <v>129</v>
      </c>
      <c r="R53" s="816"/>
      <c r="S53" s="816"/>
      <c r="T53" s="816"/>
      <c r="U53" s="816"/>
      <c r="V53" s="816"/>
      <c r="W53" s="816"/>
      <c r="X53" s="816"/>
      <c r="Y53" s="816"/>
      <c r="Z53" s="816"/>
      <c r="AA53" s="816"/>
      <c r="AB53" s="816"/>
      <c r="AC53" s="816"/>
      <c r="AD53" s="816"/>
      <c r="AE53" s="816"/>
      <c r="AF53" s="816"/>
      <c r="AG53" s="816"/>
      <c r="AH53" s="816"/>
      <c r="AI53" s="816"/>
      <c r="AJ53" s="816"/>
      <c r="AK53" s="821"/>
      <c r="AL53" s="822" t="s">
        <v>1987</v>
      </c>
      <c r="AM53" s="822"/>
    </row>
    <row r="54" spans="3:39">
      <c r="C54" s="2622"/>
      <c r="D54" s="2622"/>
      <c r="E54" s="2619"/>
      <c r="F54" s="2618"/>
      <c r="G54" s="2619"/>
      <c r="H54" s="2618"/>
      <c r="I54" s="2619"/>
      <c r="J54" s="2618"/>
      <c r="K54" s="2619"/>
      <c r="L54" s="2618"/>
      <c r="M54" s="2618"/>
      <c r="N54" s="2618"/>
      <c r="O54" s="2618"/>
      <c r="P54" s="2618"/>
      <c r="Q54" s="817">
        <v>44541</v>
      </c>
      <c r="R54" s="818"/>
      <c r="S54" s="818"/>
      <c r="T54" s="818"/>
      <c r="U54" s="818"/>
      <c r="V54" s="818"/>
      <c r="W54" s="818"/>
      <c r="X54" s="818"/>
      <c r="Y54" s="818"/>
      <c r="Z54" s="818"/>
      <c r="AA54" s="828" t="s">
        <v>1984</v>
      </c>
      <c r="AB54" s="819">
        <v>46366</v>
      </c>
      <c r="AC54" s="818"/>
      <c r="AD54" s="818"/>
      <c r="AE54" s="818"/>
      <c r="AF54" s="818"/>
      <c r="AG54" s="818"/>
      <c r="AH54" s="818"/>
      <c r="AI54" s="818"/>
      <c r="AJ54" s="818"/>
      <c r="AK54" s="818"/>
      <c r="AL54" s="850"/>
      <c r="AM54" s="851"/>
    </row>
    <row r="55" spans="3:39">
      <c r="C55" s="2622"/>
      <c r="D55" s="2622">
        <v>19</v>
      </c>
      <c r="E55" s="2619">
        <v>2547.75</v>
      </c>
      <c r="F55" s="2618">
        <f t="shared" si="57"/>
        <v>770.69437499999992</v>
      </c>
      <c r="G55" s="2619">
        <v>966.56999999999994</v>
      </c>
      <c r="H55" s="2618">
        <f t="shared" si="57"/>
        <v>292.38742499999995</v>
      </c>
      <c r="I55" s="2619">
        <v>2547.75</v>
      </c>
      <c r="J55" s="2618">
        <f t="shared" si="57"/>
        <v>770.69437499999992</v>
      </c>
      <c r="K55" s="2619">
        <v>966.56999999999994</v>
      </c>
      <c r="L55" s="2618">
        <f t="shared" si="57"/>
        <v>292.38742499999995</v>
      </c>
      <c r="M55" s="2618">
        <f t="shared" ref="M55:P55" si="67">E55-I55</f>
        <v>0</v>
      </c>
      <c r="N55" s="2618">
        <f t="shared" si="67"/>
        <v>0</v>
      </c>
      <c r="O55" s="2618">
        <f t="shared" si="67"/>
        <v>0</v>
      </c>
      <c r="P55" s="2618">
        <f t="shared" si="67"/>
        <v>0</v>
      </c>
      <c r="Q55" s="816" t="s">
        <v>129</v>
      </c>
      <c r="R55" s="816"/>
      <c r="S55" s="816"/>
      <c r="T55" s="816"/>
      <c r="U55" s="816"/>
      <c r="V55" s="816"/>
      <c r="W55" s="816"/>
      <c r="X55" s="821" t="s">
        <v>126</v>
      </c>
      <c r="Y55" s="816"/>
      <c r="Z55" s="816"/>
      <c r="AA55" s="816"/>
      <c r="AB55" s="816"/>
      <c r="AC55" s="827" t="s">
        <v>126</v>
      </c>
      <c r="AD55" s="827"/>
      <c r="AE55" s="816"/>
      <c r="AF55" s="816"/>
      <c r="AG55" s="821"/>
      <c r="AH55" s="821" t="s">
        <v>126</v>
      </c>
      <c r="AI55" s="816"/>
      <c r="AJ55" s="816"/>
      <c r="AK55" s="852" t="s">
        <v>141</v>
      </c>
      <c r="AL55" s="853"/>
      <c r="AM55" s="791"/>
    </row>
    <row r="56" spans="3:39">
      <c r="C56" s="2622"/>
      <c r="D56" s="2622"/>
      <c r="E56" s="2619"/>
      <c r="F56" s="2618"/>
      <c r="G56" s="2619"/>
      <c r="H56" s="2618"/>
      <c r="I56" s="2619"/>
      <c r="J56" s="2618"/>
      <c r="K56" s="2619"/>
      <c r="L56" s="2618"/>
      <c r="M56" s="2618"/>
      <c r="N56" s="2618"/>
      <c r="O56" s="2618"/>
      <c r="P56" s="2618"/>
      <c r="Q56" s="817">
        <v>44541</v>
      </c>
      <c r="R56" s="818"/>
      <c r="S56" s="818"/>
      <c r="T56" s="828" t="s">
        <v>1984</v>
      </c>
      <c r="U56" s="854"/>
      <c r="V56" s="819">
        <v>46366</v>
      </c>
      <c r="W56" s="820"/>
      <c r="X56" s="817">
        <v>45139</v>
      </c>
      <c r="Y56" s="817"/>
      <c r="Z56" s="828" t="s">
        <v>1984</v>
      </c>
      <c r="AA56" s="819">
        <v>46234</v>
      </c>
      <c r="AB56" s="829"/>
      <c r="AC56" s="829">
        <v>45078</v>
      </c>
      <c r="AD56" s="819"/>
      <c r="AE56" s="828" t="s">
        <v>1984</v>
      </c>
      <c r="AF56" s="819">
        <v>46234</v>
      </c>
      <c r="AG56" s="819"/>
      <c r="AH56" s="855">
        <v>45139</v>
      </c>
      <c r="AI56" s="828" t="s">
        <v>1984</v>
      </c>
      <c r="AJ56" s="856">
        <v>46234</v>
      </c>
      <c r="AK56" s="857">
        <v>44876</v>
      </c>
      <c r="AL56" s="835" t="s">
        <v>1984</v>
      </c>
      <c r="AM56" s="807">
        <v>45971</v>
      </c>
    </row>
    <row r="57" spans="3:39" ht="36" customHeight="1">
      <c r="C57" s="1860" t="s">
        <v>1817</v>
      </c>
      <c r="D57" s="1860"/>
      <c r="E57" s="1861">
        <f>SUM(E37:E56)</f>
        <v>25121.58</v>
      </c>
      <c r="F57" s="1861">
        <f t="shared" ref="F57:P57" si="68">SUM(F37:F56)</f>
        <v>7599.2779499999997</v>
      </c>
      <c r="G57" s="1861">
        <f t="shared" si="68"/>
        <v>9571.58</v>
      </c>
      <c r="H57" s="1861">
        <f t="shared" si="68"/>
        <v>2895.4029500000001</v>
      </c>
      <c r="I57" s="1861">
        <f t="shared" si="68"/>
        <v>25121.58</v>
      </c>
      <c r="J57" s="1861">
        <f t="shared" si="68"/>
        <v>7599.2779499999997</v>
      </c>
      <c r="K57" s="1861">
        <f t="shared" si="68"/>
        <v>9571.58</v>
      </c>
      <c r="L57" s="1861">
        <f t="shared" si="68"/>
        <v>2895.4029500000001</v>
      </c>
      <c r="M57" s="1861">
        <f t="shared" si="68"/>
        <v>0</v>
      </c>
      <c r="N57" s="1861">
        <f t="shared" si="68"/>
        <v>0</v>
      </c>
      <c r="O57" s="1861">
        <f t="shared" si="68"/>
        <v>0</v>
      </c>
      <c r="P57" s="1861">
        <f t="shared" si="68"/>
        <v>0</v>
      </c>
      <c r="Q57" s="2253"/>
      <c r="R57" s="2254"/>
      <c r="S57" s="2254"/>
      <c r="T57" s="2254"/>
      <c r="U57" s="2254"/>
      <c r="V57" s="2254"/>
      <c r="W57" s="2254"/>
      <c r="X57" s="2254"/>
      <c r="Y57" s="2254"/>
      <c r="Z57" s="2254"/>
      <c r="AA57" s="2254"/>
      <c r="AB57" s="2254"/>
      <c r="AC57" s="2254"/>
      <c r="AD57" s="2254"/>
      <c r="AE57" s="2254"/>
      <c r="AF57" s="2254"/>
      <c r="AG57" s="2254"/>
      <c r="AH57" s="2254"/>
      <c r="AI57" s="2254"/>
      <c r="AJ57" s="2254"/>
      <c r="AK57" s="2254"/>
      <c r="AL57" s="2254"/>
      <c r="AM57" s="2255"/>
    </row>
    <row r="58" spans="3:39">
      <c r="C58" s="2622" t="s">
        <v>1851</v>
      </c>
      <c r="D58" s="2622">
        <v>18</v>
      </c>
      <c r="E58" s="2619">
        <v>2544.83</v>
      </c>
      <c r="F58" s="2618">
        <f t="shared" ref="F58:F94" si="69">E58*$F$1</f>
        <v>769.81107499999996</v>
      </c>
      <c r="G58" s="2619">
        <v>1143.77</v>
      </c>
      <c r="H58" s="2618">
        <f t="shared" ref="H58:H94" si="70">G58*$F$1</f>
        <v>345.99042499999996</v>
      </c>
      <c r="I58" s="2619">
        <v>2544.83</v>
      </c>
      <c r="J58" s="2618">
        <f t="shared" ref="J58:J94" si="71">I58*$F$1</f>
        <v>769.81107499999996</v>
      </c>
      <c r="K58" s="2619">
        <v>1143.77</v>
      </c>
      <c r="L58" s="2618">
        <f t="shared" ref="L58:L94" si="72">K58*$F$1</f>
        <v>345.99042499999996</v>
      </c>
      <c r="M58" s="2618">
        <f t="shared" ref="M58:P58" si="73">E58-I58</f>
        <v>0</v>
      </c>
      <c r="N58" s="2618">
        <f t="shared" si="73"/>
        <v>0</v>
      </c>
      <c r="O58" s="2618">
        <f t="shared" si="73"/>
        <v>0</v>
      </c>
      <c r="P58" s="2618">
        <f t="shared" si="73"/>
        <v>0</v>
      </c>
      <c r="Q58" s="816" t="s">
        <v>1988</v>
      </c>
      <c r="R58" s="816"/>
      <c r="S58" s="816"/>
      <c r="T58" s="816"/>
      <c r="U58" s="816"/>
      <c r="V58" s="816"/>
      <c r="W58" s="816"/>
      <c r="X58" s="816"/>
      <c r="Y58" s="816"/>
      <c r="Z58" s="816"/>
      <c r="AA58" s="816"/>
      <c r="AB58" s="816"/>
      <c r="AC58" s="816"/>
      <c r="AD58" s="816"/>
      <c r="AE58" s="816"/>
      <c r="AF58" s="816"/>
      <c r="AG58" s="816"/>
      <c r="AH58" s="816"/>
      <c r="AI58" s="816"/>
      <c r="AJ58" s="816"/>
      <c r="AK58" s="816"/>
      <c r="AL58" s="816"/>
      <c r="AM58" s="816"/>
    </row>
    <row r="59" spans="3:39">
      <c r="C59" s="2622"/>
      <c r="D59" s="2622"/>
      <c r="E59" s="2619"/>
      <c r="F59" s="2618"/>
      <c r="G59" s="2619"/>
      <c r="H59" s="2618"/>
      <c r="I59" s="2619"/>
      <c r="J59" s="2618"/>
      <c r="K59" s="2619"/>
      <c r="L59" s="2618"/>
      <c r="M59" s="2618"/>
      <c r="N59" s="2618"/>
      <c r="O59" s="2618"/>
      <c r="P59" s="2618"/>
      <c r="Q59" s="817">
        <v>45004</v>
      </c>
      <c r="R59" s="818"/>
      <c r="S59" s="818"/>
      <c r="T59" s="818"/>
      <c r="U59" s="818"/>
      <c r="V59" s="818"/>
      <c r="W59" s="818"/>
      <c r="X59" s="818"/>
      <c r="Y59" s="818"/>
      <c r="Z59" s="818"/>
      <c r="AA59" s="818"/>
      <c r="AB59" s="828" t="s">
        <v>1984</v>
      </c>
      <c r="AC59" s="819">
        <v>46099</v>
      </c>
      <c r="AD59" s="818"/>
      <c r="AE59" s="818"/>
      <c r="AF59" s="818"/>
      <c r="AG59" s="818"/>
      <c r="AH59" s="818"/>
      <c r="AI59" s="818"/>
      <c r="AJ59" s="818"/>
      <c r="AK59" s="818"/>
      <c r="AL59" s="818"/>
      <c r="AM59" s="820"/>
    </row>
    <row r="60" spans="3:39">
      <c r="C60" s="2622"/>
      <c r="D60" s="2622">
        <v>17</v>
      </c>
      <c r="E60" s="2619">
        <v>2544.86</v>
      </c>
      <c r="F60" s="2618">
        <f t="shared" si="69"/>
        <v>769.82015000000001</v>
      </c>
      <c r="G60" s="2619">
        <v>966.57</v>
      </c>
      <c r="H60" s="2618">
        <f t="shared" si="70"/>
        <v>292.38742500000001</v>
      </c>
      <c r="I60" s="2619">
        <v>2544.86</v>
      </c>
      <c r="J60" s="2618">
        <f t="shared" si="71"/>
        <v>769.82015000000001</v>
      </c>
      <c r="K60" s="2619">
        <v>966.57</v>
      </c>
      <c r="L60" s="2618">
        <f t="shared" si="72"/>
        <v>292.38742500000001</v>
      </c>
      <c r="M60" s="2618">
        <f t="shared" ref="M60:P60" si="74">E60-I60</f>
        <v>0</v>
      </c>
      <c r="N60" s="2618">
        <f t="shared" si="74"/>
        <v>0</v>
      </c>
      <c r="O60" s="2618">
        <f t="shared" si="74"/>
        <v>0</v>
      </c>
      <c r="P60" s="2618">
        <f t="shared" si="74"/>
        <v>0</v>
      </c>
      <c r="Q60" s="808" t="s">
        <v>140</v>
      </c>
      <c r="R60" s="808"/>
      <c r="S60" s="808"/>
      <c r="T60" s="808"/>
      <c r="U60" s="808"/>
      <c r="V60" s="808"/>
      <c r="W60" s="808"/>
      <c r="X60" s="808"/>
      <c r="Y60" s="808"/>
      <c r="Z60" s="808"/>
      <c r="AA60" s="808"/>
      <c r="AB60" s="808"/>
      <c r="AC60" s="808"/>
      <c r="AD60" s="808"/>
      <c r="AE60" s="808"/>
      <c r="AF60" s="808"/>
      <c r="AG60" s="808"/>
      <c r="AH60" s="808"/>
      <c r="AI60" s="808"/>
      <c r="AJ60" s="808"/>
      <c r="AK60" s="808"/>
      <c r="AL60" s="808"/>
      <c r="AM60" s="808"/>
    </row>
    <row r="61" spans="3:39">
      <c r="C61" s="2622"/>
      <c r="D61" s="2622"/>
      <c r="E61" s="2619"/>
      <c r="F61" s="2618"/>
      <c r="G61" s="2619"/>
      <c r="H61" s="2618"/>
      <c r="I61" s="2619"/>
      <c r="J61" s="2618"/>
      <c r="K61" s="2619"/>
      <c r="L61" s="2618"/>
      <c r="M61" s="2618"/>
      <c r="N61" s="2618"/>
      <c r="O61" s="2618"/>
      <c r="P61" s="2618"/>
      <c r="Q61" s="810">
        <v>44584</v>
      </c>
      <c r="R61" s="811"/>
      <c r="S61" s="811"/>
      <c r="T61" s="811"/>
      <c r="U61" s="811"/>
      <c r="V61" s="811"/>
      <c r="W61" s="811"/>
      <c r="X61" s="811"/>
      <c r="Y61" s="811"/>
      <c r="Z61" s="811"/>
      <c r="AA61" s="811"/>
      <c r="AB61" s="812" t="s">
        <v>1984</v>
      </c>
      <c r="AC61" s="813">
        <v>46409</v>
      </c>
      <c r="AD61" s="811"/>
      <c r="AE61" s="811"/>
      <c r="AF61" s="811"/>
      <c r="AG61" s="811"/>
      <c r="AH61" s="811"/>
      <c r="AI61" s="811"/>
      <c r="AJ61" s="811"/>
      <c r="AK61" s="811"/>
      <c r="AL61" s="811"/>
      <c r="AM61" s="814"/>
    </row>
    <row r="62" spans="3:39">
      <c r="C62" s="2622"/>
      <c r="D62" s="2622">
        <v>16</v>
      </c>
      <c r="E62" s="2619">
        <v>1659.9</v>
      </c>
      <c r="F62" s="2618">
        <f t="shared" si="69"/>
        <v>502.11975000000001</v>
      </c>
      <c r="G62" s="2619">
        <v>610.52</v>
      </c>
      <c r="H62" s="2618">
        <f t="shared" si="70"/>
        <v>184.6823</v>
      </c>
      <c r="I62" s="2619">
        <v>1659.9</v>
      </c>
      <c r="J62" s="2618">
        <f t="shared" si="71"/>
        <v>502.11975000000001</v>
      </c>
      <c r="K62" s="2619">
        <v>610.52</v>
      </c>
      <c r="L62" s="2618">
        <f t="shared" si="72"/>
        <v>184.6823</v>
      </c>
      <c r="M62" s="2618">
        <f t="shared" ref="M62:P62" si="75">E62-I62</f>
        <v>0</v>
      </c>
      <c r="N62" s="2618">
        <f t="shared" si="75"/>
        <v>0</v>
      </c>
      <c r="O62" s="2618">
        <f t="shared" si="75"/>
        <v>0</v>
      </c>
      <c r="P62" s="2618">
        <f t="shared" si="75"/>
        <v>0</v>
      </c>
      <c r="Q62" s="777" t="s">
        <v>477</v>
      </c>
      <c r="R62" s="777"/>
      <c r="S62" s="777"/>
      <c r="T62" s="777"/>
      <c r="U62" s="777"/>
      <c r="V62" s="777"/>
      <c r="W62" s="777"/>
      <c r="X62" s="858" t="s">
        <v>476</v>
      </c>
      <c r="Y62" s="858"/>
      <c r="Z62" s="858"/>
      <c r="AA62" s="858"/>
      <c r="AB62" s="858"/>
      <c r="AC62" s="858"/>
      <c r="AD62" s="858"/>
      <c r="AE62" s="859" t="s">
        <v>1986</v>
      </c>
      <c r="AF62" s="822"/>
      <c r="AG62" s="822"/>
      <c r="AH62" s="822"/>
      <c r="AI62" s="822"/>
      <c r="AJ62" s="822"/>
      <c r="AK62" s="822"/>
      <c r="AL62" s="822"/>
      <c r="AM62" s="822"/>
    </row>
    <row r="63" spans="3:39">
      <c r="C63" s="2622"/>
      <c r="D63" s="2622"/>
      <c r="E63" s="2619"/>
      <c r="F63" s="2618"/>
      <c r="G63" s="2619"/>
      <c r="H63" s="2618"/>
      <c r="I63" s="2619"/>
      <c r="J63" s="2618"/>
      <c r="K63" s="2619"/>
      <c r="L63" s="2618"/>
      <c r="M63" s="2618"/>
      <c r="N63" s="2618"/>
      <c r="O63" s="2618"/>
      <c r="P63" s="2618"/>
      <c r="Q63" s="778">
        <v>43760</v>
      </c>
      <c r="R63" s="780"/>
      <c r="S63" s="780"/>
      <c r="T63" s="781" t="s">
        <v>1984</v>
      </c>
      <c r="U63" s="782">
        <v>45586</v>
      </c>
      <c r="V63" s="780"/>
      <c r="W63" s="785"/>
      <c r="X63" s="860">
        <v>45017</v>
      </c>
      <c r="Y63" s="861"/>
      <c r="Z63" s="861"/>
      <c r="AA63" s="862" t="s">
        <v>1984</v>
      </c>
      <c r="AB63" s="863">
        <v>46843</v>
      </c>
      <c r="AC63" s="861"/>
      <c r="AD63" s="864"/>
      <c r="AE63" s="865"/>
      <c r="AF63" s="865"/>
      <c r="AG63" s="865"/>
      <c r="AH63" s="865"/>
      <c r="AI63" s="865"/>
      <c r="AJ63" s="865"/>
      <c r="AK63" s="865"/>
      <c r="AL63" s="865"/>
      <c r="AM63" s="851"/>
    </row>
    <row r="64" spans="3:39">
      <c r="C64" s="2622"/>
      <c r="D64" s="2622">
        <v>15</v>
      </c>
      <c r="E64" s="2619">
        <v>2553.04</v>
      </c>
      <c r="F64" s="2618">
        <f t="shared" si="69"/>
        <v>772.29459999999995</v>
      </c>
      <c r="G64" s="2620">
        <v>966.57</v>
      </c>
      <c r="H64" s="2618">
        <f t="shared" si="70"/>
        <v>292.38742500000001</v>
      </c>
      <c r="I64" s="2619">
        <v>2553.04</v>
      </c>
      <c r="J64" s="2618">
        <f t="shared" si="71"/>
        <v>772.29459999999995</v>
      </c>
      <c r="K64" s="2620">
        <v>966.57</v>
      </c>
      <c r="L64" s="2618">
        <f t="shared" si="72"/>
        <v>292.38742500000001</v>
      </c>
      <c r="M64" s="2618">
        <f t="shared" ref="M64:P64" si="76">E64-I64</f>
        <v>0</v>
      </c>
      <c r="N64" s="2618">
        <f t="shared" si="76"/>
        <v>0</v>
      </c>
      <c r="O64" s="2618">
        <f t="shared" si="76"/>
        <v>0</v>
      </c>
      <c r="P64" s="2618">
        <f t="shared" si="76"/>
        <v>0</v>
      </c>
      <c r="Q64" s="858" t="s">
        <v>476</v>
      </c>
      <c r="R64" s="858"/>
      <c r="S64" s="858"/>
      <c r="T64" s="858"/>
      <c r="U64" s="858"/>
      <c r="V64" s="858"/>
      <c r="W64" s="858"/>
      <c r="X64" s="858"/>
      <c r="Y64" s="858"/>
      <c r="Z64" s="858"/>
      <c r="AA64" s="858"/>
      <c r="AB64" s="858"/>
      <c r="AC64" s="858"/>
      <c r="AD64" s="858"/>
      <c r="AE64" s="858"/>
      <c r="AF64" s="858"/>
      <c r="AG64" s="858"/>
      <c r="AH64" s="858"/>
      <c r="AI64" s="858"/>
      <c r="AJ64" s="858"/>
      <c r="AK64" s="858"/>
      <c r="AL64" s="858"/>
      <c r="AM64" s="858"/>
    </row>
    <row r="65" spans="3:39">
      <c r="C65" s="2622"/>
      <c r="D65" s="2622"/>
      <c r="E65" s="2619"/>
      <c r="F65" s="2618"/>
      <c r="G65" s="2621"/>
      <c r="H65" s="2618"/>
      <c r="I65" s="2619"/>
      <c r="J65" s="2618"/>
      <c r="K65" s="2621"/>
      <c r="L65" s="2618"/>
      <c r="M65" s="2618"/>
      <c r="N65" s="2618"/>
      <c r="O65" s="2618"/>
      <c r="P65" s="2618"/>
      <c r="Q65" s="860">
        <v>45017</v>
      </c>
      <c r="R65" s="861"/>
      <c r="S65" s="861"/>
      <c r="T65" s="861"/>
      <c r="U65" s="861"/>
      <c r="V65" s="861"/>
      <c r="W65" s="861"/>
      <c r="X65" s="861"/>
      <c r="Y65" s="861"/>
      <c r="Z65" s="861"/>
      <c r="AA65" s="861"/>
      <c r="AB65" s="862" t="s">
        <v>1984</v>
      </c>
      <c r="AC65" s="863">
        <v>46843</v>
      </c>
      <c r="AD65" s="861"/>
      <c r="AE65" s="861"/>
      <c r="AF65" s="861"/>
      <c r="AG65" s="861"/>
      <c r="AH65" s="861"/>
      <c r="AI65" s="861"/>
      <c r="AJ65" s="861"/>
      <c r="AK65" s="861"/>
      <c r="AL65" s="861"/>
      <c r="AM65" s="864"/>
    </row>
    <row r="66" spans="3:39">
      <c r="C66" s="2622"/>
      <c r="D66" s="2622">
        <v>14</v>
      </c>
      <c r="E66" s="2619">
        <v>2900.86</v>
      </c>
      <c r="F66" s="2618">
        <f t="shared" si="69"/>
        <v>877.51015000000007</v>
      </c>
      <c r="G66" s="2619">
        <v>1184.26</v>
      </c>
      <c r="H66" s="2618">
        <f t="shared" si="70"/>
        <v>358.23865000000001</v>
      </c>
      <c r="I66" s="2619">
        <v>2900.86</v>
      </c>
      <c r="J66" s="2618">
        <f t="shared" si="71"/>
        <v>877.51015000000007</v>
      </c>
      <c r="K66" s="2619">
        <v>1184.26</v>
      </c>
      <c r="L66" s="2618">
        <f t="shared" si="72"/>
        <v>358.23865000000001</v>
      </c>
      <c r="M66" s="2618">
        <f t="shared" ref="M66:P66" si="77">E66-I66</f>
        <v>0</v>
      </c>
      <c r="N66" s="2618">
        <f t="shared" si="77"/>
        <v>0</v>
      </c>
      <c r="O66" s="2618">
        <f t="shared" si="77"/>
        <v>0</v>
      </c>
      <c r="P66" s="2618">
        <f t="shared" si="77"/>
        <v>0</v>
      </c>
      <c r="Q66" s="816" t="s">
        <v>139</v>
      </c>
      <c r="R66" s="816"/>
      <c r="S66" s="816"/>
      <c r="T66" s="816"/>
      <c r="U66" s="816"/>
      <c r="V66" s="816"/>
      <c r="W66" s="816"/>
      <c r="X66" s="816"/>
      <c r="Y66" s="816"/>
      <c r="Z66" s="816"/>
      <c r="AA66" s="816"/>
      <c r="AB66" s="816"/>
      <c r="AC66" s="816"/>
      <c r="AD66" s="816"/>
      <c r="AE66" s="816"/>
      <c r="AF66" s="816"/>
      <c r="AG66" s="816"/>
      <c r="AH66" s="816"/>
      <c r="AI66" s="816"/>
      <c r="AJ66" s="816"/>
      <c r="AK66" s="816"/>
      <c r="AL66" s="816"/>
      <c r="AM66" s="816"/>
    </row>
    <row r="67" spans="3:39">
      <c r="C67" s="2622"/>
      <c r="D67" s="2622"/>
      <c r="E67" s="2619"/>
      <c r="F67" s="2618"/>
      <c r="G67" s="2619"/>
      <c r="H67" s="2618"/>
      <c r="I67" s="2619"/>
      <c r="J67" s="2618"/>
      <c r="K67" s="2619"/>
      <c r="L67" s="2618"/>
      <c r="M67" s="2618"/>
      <c r="N67" s="2618"/>
      <c r="O67" s="2618"/>
      <c r="P67" s="2618"/>
      <c r="Q67" s="817">
        <v>44348</v>
      </c>
      <c r="R67" s="818"/>
      <c r="S67" s="818"/>
      <c r="T67" s="818"/>
      <c r="U67" s="818"/>
      <c r="V67" s="818"/>
      <c r="W67" s="818"/>
      <c r="X67" s="818"/>
      <c r="Y67" s="818"/>
      <c r="Z67" s="818"/>
      <c r="AA67" s="818"/>
      <c r="AB67" s="828" t="s">
        <v>1984</v>
      </c>
      <c r="AC67" s="819">
        <v>46173</v>
      </c>
      <c r="AD67" s="818"/>
      <c r="AE67" s="818"/>
      <c r="AF67" s="818"/>
      <c r="AG67" s="818"/>
      <c r="AH67" s="818"/>
      <c r="AI67" s="818"/>
      <c r="AJ67" s="818"/>
      <c r="AK67" s="818"/>
      <c r="AL67" s="818"/>
      <c r="AM67" s="820"/>
    </row>
    <row r="68" spans="3:39">
      <c r="C68" s="2622"/>
      <c r="D68" s="2622">
        <v>13</v>
      </c>
      <c r="E68" s="2619">
        <v>2441.9499999999998</v>
      </c>
      <c r="F68" s="2618">
        <f t="shared" si="69"/>
        <v>738.68987499999992</v>
      </c>
      <c r="G68" s="2619">
        <v>994.16</v>
      </c>
      <c r="H68" s="2618">
        <f t="shared" si="70"/>
        <v>300.73339999999996</v>
      </c>
      <c r="I68" s="2619">
        <v>2441.9499999999998</v>
      </c>
      <c r="J68" s="2618">
        <f t="shared" si="71"/>
        <v>738.68987499999992</v>
      </c>
      <c r="K68" s="2619">
        <v>994.16</v>
      </c>
      <c r="L68" s="2618">
        <f t="shared" si="72"/>
        <v>300.73339999999996</v>
      </c>
      <c r="M68" s="2618">
        <f t="shared" ref="M68:P68" si="78">E68-I68</f>
        <v>0</v>
      </c>
      <c r="N68" s="2618">
        <f t="shared" si="78"/>
        <v>0</v>
      </c>
      <c r="O68" s="2618">
        <f t="shared" si="78"/>
        <v>0</v>
      </c>
      <c r="P68" s="2618">
        <f t="shared" si="78"/>
        <v>0</v>
      </c>
      <c r="Q68" s="777" t="s">
        <v>138</v>
      </c>
      <c r="R68" s="777"/>
      <c r="S68" s="777"/>
      <c r="T68" s="777"/>
      <c r="U68" s="777"/>
      <c r="V68" s="777"/>
      <c r="W68" s="777"/>
      <c r="X68" s="777"/>
      <c r="Y68" s="777"/>
      <c r="Z68" s="777"/>
      <c r="AA68" s="777"/>
      <c r="AB68" s="777"/>
      <c r="AC68" s="777"/>
      <c r="AD68" s="777"/>
      <c r="AE68" s="777"/>
      <c r="AF68" s="777"/>
      <c r="AG68" s="777"/>
      <c r="AH68" s="777"/>
      <c r="AI68" s="777"/>
      <c r="AJ68" s="777"/>
      <c r="AK68" s="777"/>
      <c r="AL68" s="777"/>
      <c r="AM68" s="777"/>
    </row>
    <row r="69" spans="3:39">
      <c r="C69" s="2622"/>
      <c r="D69" s="2622"/>
      <c r="E69" s="2619"/>
      <c r="F69" s="2618"/>
      <c r="G69" s="2619"/>
      <c r="H69" s="2618"/>
      <c r="I69" s="2619"/>
      <c r="J69" s="2618"/>
      <c r="K69" s="2619"/>
      <c r="L69" s="2618"/>
      <c r="M69" s="2618"/>
      <c r="N69" s="2618"/>
      <c r="O69" s="2618"/>
      <c r="P69" s="2618"/>
      <c r="Q69" s="778">
        <v>43831</v>
      </c>
      <c r="R69" s="780"/>
      <c r="S69" s="780"/>
      <c r="T69" s="780"/>
      <c r="U69" s="780"/>
      <c r="V69" s="780"/>
      <c r="W69" s="780"/>
      <c r="X69" s="780"/>
      <c r="Y69" s="780"/>
      <c r="Z69" s="780"/>
      <c r="AA69" s="780"/>
      <c r="AB69" s="781" t="s">
        <v>1984</v>
      </c>
      <c r="AC69" s="782">
        <v>45657</v>
      </c>
      <c r="AD69" s="780"/>
      <c r="AE69" s="780"/>
      <c r="AF69" s="780"/>
      <c r="AG69" s="780"/>
      <c r="AH69" s="780"/>
      <c r="AI69" s="780"/>
      <c r="AJ69" s="780"/>
      <c r="AK69" s="780"/>
      <c r="AL69" s="780"/>
      <c r="AM69" s="785"/>
    </row>
    <row r="70" spans="3:39">
      <c r="C70" s="2622"/>
      <c r="D70" s="2622">
        <v>12</v>
      </c>
      <c r="E70" s="2619">
        <v>2070.29</v>
      </c>
      <c r="F70" s="2618">
        <f t="shared" si="69"/>
        <v>626.26272499999993</v>
      </c>
      <c r="G70" s="2619">
        <v>763.32</v>
      </c>
      <c r="H70" s="2618">
        <f t="shared" si="70"/>
        <v>230.90430000000001</v>
      </c>
      <c r="I70" s="2619">
        <v>2070.29</v>
      </c>
      <c r="J70" s="2618">
        <f t="shared" si="71"/>
        <v>626.26272499999993</v>
      </c>
      <c r="K70" s="2619">
        <v>763.32</v>
      </c>
      <c r="L70" s="2618">
        <f t="shared" si="72"/>
        <v>230.90430000000001</v>
      </c>
      <c r="M70" s="2618">
        <f t="shared" ref="M70:P70" si="79">E70-I70</f>
        <v>0</v>
      </c>
      <c r="N70" s="2618">
        <f t="shared" si="79"/>
        <v>0</v>
      </c>
      <c r="O70" s="2618">
        <f t="shared" si="79"/>
        <v>0</v>
      </c>
      <c r="P70" s="2618">
        <f t="shared" si="79"/>
        <v>0</v>
      </c>
      <c r="Q70" s="777" t="s">
        <v>138</v>
      </c>
      <c r="R70" s="777"/>
      <c r="S70" s="777"/>
      <c r="T70" s="777"/>
      <c r="U70" s="777"/>
      <c r="V70" s="777"/>
      <c r="W70" s="777"/>
      <c r="X70" s="777"/>
      <c r="Y70" s="777"/>
      <c r="Z70" s="777"/>
      <c r="AA70" s="777"/>
      <c r="AB70" s="777"/>
      <c r="AC70" s="777"/>
      <c r="AD70" s="777"/>
      <c r="AE70" s="777"/>
      <c r="AF70" s="777"/>
      <c r="AG70" s="777"/>
      <c r="AH70" s="777"/>
      <c r="AI70" s="777"/>
      <c r="AJ70" s="832"/>
      <c r="AK70" s="786"/>
      <c r="AL70" s="777"/>
      <c r="AM70" s="866" t="s">
        <v>1989</v>
      </c>
    </row>
    <row r="71" spans="3:39">
      <c r="C71" s="2622"/>
      <c r="D71" s="2622"/>
      <c r="E71" s="2619"/>
      <c r="F71" s="2618"/>
      <c r="G71" s="2619"/>
      <c r="H71" s="2618"/>
      <c r="I71" s="2619"/>
      <c r="J71" s="2618"/>
      <c r="K71" s="2619"/>
      <c r="L71" s="2618"/>
      <c r="M71" s="2618"/>
      <c r="N71" s="2618"/>
      <c r="O71" s="2618"/>
      <c r="P71" s="2618"/>
      <c r="Q71" s="778">
        <v>43831</v>
      </c>
      <c r="R71" s="780"/>
      <c r="S71" s="780"/>
      <c r="T71" s="780"/>
      <c r="U71" s="780"/>
      <c r="V71" s="780"/>
      <c r="W71" s="780"/>
      <c r="X71" s="780"/>
      <c r="Y71" s="780"/>
      <c r="Z71" s="779"/>
      <c r="AA71" s="779" t="s">
        <v>1984</v>
      </c>
      <c r="AB71" s="782"/>
      <c r="AC71" s="782">
        <v>45657</v>
      </c>
      <c r="AD71" s="780"/>
      <c r="AE71" s="780"/>
      <c r="AF71" s="780"/>
      <c r="AG71" s="780"/>
      <c r="AH71" s="780"/>
      <c r="AI71" s="780"/>
      <c r="AJ71" s="780"/>
      <c r="AK71" s="867"/>
      <c r="AL71" s="868"/>
      <c r="AM71" s="869"/>
    </row>
    <row r="72" spans="3:39">
      <c r="C72" s="2622"/>
      <c r="D72" s="2622">
        <v>11</v>
      </c>
      <c r="E72" s="2619">
        <v>2070.02</v>
      </c>
      <c r="F72" s="2618">
        <f t="shared" si="69"/>
        <v>626.18105000000003</v>
      </c>
      <c r="G72" s="2619">
        <v>763.32</v>
      </c>
      <c r="H72" s="2618">
        <f t="shared" si="70"/>
        <v>230.90430000000001</v>
      </c>
      <c r="I72" s="2619">
        <v>2070.02</v>
      </c>
      <c r="J72" s="2618">
        <f t="shared" si="71"/>
        <v>626.18105000000003</v>
      </c>
      <c r="K72" s="2619">
        <v>763.32</v>
      </c>
      <c r="L72" s="2618">
        <f t="shared" si="72"/>
        <v>230.90430000000001</v>
      </c>
      <c r="M72" s="2618">
        <f t="shared" ref="M72:P72" si="80">E72-I72</f>
        <v>0</v>
      </c>
      <c r="N72" s="2618">
        <f t="shared" si="80"/>
        <v>0</v>
      </c>
      <c r="O72" s="2618">
        <f t="shared" si="80"/>
        <v>0</v>
      </c>
      <c r="P72" s="2618">
        <f t="shared" si="80"/>
        <v>0</v>
      </c>
      <c r="Q72" s="816" t="s">
        <v>2163</v>
      </c>
      <c r="R72" s="816"/>
      <c r="S72" s="816"/>
      <c r="T72" s="816"/>
      <c r="U72" s="816"/>
      <c r="V72" s="816"/>
      <c r="W72" s="816"/>
      <c r="X72" s="816"/>
      <c r="Y72" s="816"/>
      <c r="Z72" s="816"/>
      <c r="AA72" s="816"/>
      <c r="AB72" s="816"/>
      <c r="AC72" s="816"/>
      <c r="AD72" s="816"/>
      <c r="AE72" s="821"/>
      <c r="AF72" s="821" t="s">
        <v>475</v>
      </c>
      <c r="AG72" s="826"/>
      <c r="AH72" s="826"/>
      <c r="AI72" s="826"/>
      <c r="AJ72" s="826"/>
      <c r="AK72" s="826"/>
      <c r="AL72" s="827"/>
      <c r="AM72" s="866" t="s">
        <v>1989</v>
      </c>
    </row>
    <row r="73" spans="3:39">
      <c r="C73" s="2622"/>
      <c r="D73" s="2622"/>
      <c r="E73" s="2619"/>
      <c r="F73" s="2618"/>
      <c r="G73" s="2619"/>
      <c r="H73" s="2618"/>
      <c r="I73" s="2619"/>
      <c r="J73" s="2618"/>
      <c r="K73" s="2619"/>
      <c r="L73" s="2618"/>
      <c r="M73" s="2618"/>
      <c r="N73" s="2618"/>
      <c r="O73" s="2618"/>
      <c r="P73" s="2618"/>
      <c r="Q73" s="817">
        <v>44366</v>
      </c>
      <c r="R73" s="818"/>
      <c r="S73" s="818"/>
      <c r="T73" s="818"/>
      <c r="U73" s="818"/>
      <c r="V73" s="818"/>
      <c r="W73" s="818"/>
      <c r="X73" s="828" t="s">
        <v>1984</v>
      </c>
      <c r="Y73" s="819">
        <v>46191</v>
      </c>
      <c r="Z73" s="818"/>
      <c r="AA73" s="818"/>
      <c r="AB73" s="818"/>
      <c r="AC73" s="818"/>
      <c r="AD73" s="818"/>
      <c r="AE73" s="818"/>
      <c r="AF73" s="817">
        <v>45379</v>
      </c>
      <c r="AG73" s="818"/>
      <c r="AH73" s="818"/>
      <c r="AI73" s="828" t="s">
        <v>1984</v>
      </c>
      <c r="AJ73" s="819">
        <v>46108</v>
      </c>
      <c r="AK73" s="854"/>
      <c r="AL73" s="870"/>
      <c r="AM73" s="869"/>
    </row>
    <row r="74" spans="3:39">
      <c r="C74" s="2622"/>
      <c r="D74" s="2622">
        <v>10</v>
      </c>
      <c r="E74" s="2619">
        <v>2016.3799999999999</v>
      </c>
      <c r="F74" s="2618">
        <f t="shared" si="69"/>
        <v>609.95494999999994</v>
      </c>
      <c r="G74" s="2619">
        <v>734.1</v>
      </c>
      <c r="H74" s="2618">
        <f t="shared" si="70"/>
        <v>222.06524999999999</v>
      </c>
      <c r="I74" s="2619">
        <v>1815.57</v>
      </c>
      <c r="J74" s="2618">
        <f t="shared" si="71"/>
        <v>549.209925</v>
      </c>
      <c r="K74" s="2619">
        <v>660.99</v>
      </c>
      <c r="L74" s="2618">
        <f t="shared" si="72"/>
        <v>199.94947500000001</v>
      </c>
      <c r="M74" s="2618">
        <f t="shared" ref="M74:P74" si="81">E74-I74</f>
        <v>200.80999999999995</v>
      </c>
      <c r="N74" s="2618">
        <f t="shared" si="81"/>
        <v>60.745024999999941</v>
      </c>
      <c r="O74" s="2618">
        <f t="shared" si="81"/>
        <v>73.110000000000014</v>
      </c>
      <c r="P74" s="2618">
        <f t="shared" si="81"/>
        <v>22.115774999999985</v>
      </c>
      <c r="Q74" s="777" t="s">
        <v>2164</v>
      </c>
      <c r="R74" s="777"/>
      <c r="S74" s="777"/>
      <c r="T74" s="777"/>
      <c r="U74" s="791" t="s">
        <v>137</v>
      </c>
      <c r="V74" s="788"/>
      <c r="W74" s="788"/>
      <c r="X74" s="852"/>
      <c r="Y74" s="777" t="s">
        <v>2165</v>
      </c>
      <c r="Z74" s="777"/>
      <c r="AA74" s="777"/>
      <c r="AB74" s="871" t="s">
        <v>133</v>
      </c>
      <c r="AC74" s="858"/>
      <c r="AD74" s="872"/>
      <c r="AE74" s="788" t="s">
        <v>136</v>
      </c>
      <c r="AF74" s="788"/>
      <c r="AG74" s="788"/>
      <c r="AH74" s="873" t="s">
        <v>2166</v>
      </c>
      <c r="AI74" s="874"/>
      <c r="AJ74" s="874"/>
      <c r="AK74" s="874"/>
      <c r="AL74" s="875"/>
      <c r="AM74" s="866" t="s">
        <v>1989</v>
      </c>
    </row>
    <row r="75" spans="3:39">
      <c r="C75" s="2622"/>
      <c r="D75" s="2622"/>
      <c r="E75" s="2619"/>
      <c r="F75" s="2618"/>
      <c r="G75" s="2619"/>
      <c r="H75" s="2618"/>
      <c r="I75" s="2619"/>
      <c r="J75" s="2618"/>
      <c r="K75" s="2619"/>
      <c r="L75" s="2618"/>
      <c r="M75" s="2618"/>
      <c r="N75" s="2618"/>
      <c r="O75" s="2618"/>
      <c r="P75" s="2618"/>
      <c r="Q75" s="876">
        <v>44541</v>
      </c>
      <c r="R75" s="780" t="s">
        <v>1984</v>
      </c>
      <c r="S75" s="780"/>
      <c r="T75" s="877">
        <v>45636</v>
      </c>
      <c r="U75" s="805">
        <v>43991</v>
      </c>
      <c r="V75" s="793" t="s">
        <v>1984</v>
      </c>
      <c r="W75" s="793"/>
      <c r="X75" s="805">
        <v>45869</v>
      </c>
      <c r="Y75" s="876">
        <v>45505</v>
      </c>
      <c r="Z75" s="781" t="s">
        <v>1984</v>
      </c>
      <c r="AA75" s="877">
        <v>45565</v>
      </c>
      <c r="AB75" s="878">
        <v>45139</v>
      </c>
      <c r="AC75" s="862" t="s">
        <v>1984</v>
      </c>
      <c r="AD75" s="878">
        <v>46965</v>
      </c>
      <c r="AE75" s="857">
        <v>44013</v>
      </c>
      <c r="AF75" s="835" t="s">
        <v>1984</v>
      </c>
      <c r="AG75" s="807">
        <v>45838</v>
      </c>
      <c r="AH75" s="879"/>
      <c r="AI75" s="880"/>
      <c r="AJ75" s="880"/>
      <c r="AK75" s="880"/>
      <c r="AL75" s="881"/>
      <c r="AM75" s="869"/>
    </row>
    <row r="76" spans="3:39">
      <c r="C76" s="2622"/>
      <c r="D76" s="2622">
        <v>9</v>
      </c>
      <c r="E76" s="2619">
        <v>2159.87</v>
      </c>
      <c r="F76" s="2618">
        <f t="shared" si="69"/>
        <v>653.3606749999999</v>
      </c>
      <c r="G76" s="2619">
        <v>805.59999999999991</v>
      </c>
      <c r="H76" s="2618">
        <f t="shared" si="70"/>
        <v>243.69399999999996</v>
      </c>
      <c r="I76" s="2619">
        <v>2159.87</v>
      </c>
      <c r="J76" s="2618">
        <f t="shared" si="71"/>
        <v>653.3606749999999</v>
      </c>
      <c r="K76" s="2619">
        <v>805.59999999999991</v>
      </c>
      <c r="L76" s="2618">
        <f t="shared" si="72"/>
        <v>243.69399999999996</v>
      </c>
      <c r="M76" s="2618">
        <f t="shared" ref="M76:P76" si="82">E76-I76</f>
        <v>0</v>
      </c>
      <c r="N76" s="2618">
        <f t="shared" si="82"/>
        <v>0</v>
      </c>
      <c r="O76" s="2618">
        <f t="shared" si="82"/>
        <v>0</v>
      </c>
      <c r="P76" s="2618">
        <f t="shared" si="82"/>
        <v>0</v>
      </c>
      <c r="Q76" s="858" t="s">
        <v>132</v>
      </c>
      <c r="R76" s="858"/>
      <c r="S76" s="858"/>
      <c r="T76" s="858"/>
      <c r="U76" s="827" t="s">
        <v>140</v>
      </c>
      <c r="V76" s="816"/>
      <c r="W76" s="821"/>
      <c r="X76" s="852" t="s">
        <v>130</v>
      </c>
      <c r="Y76" s="853"/>
      <c r="Z76" s="791"/>
      <c r="AA76" s="872" t="s">
        <v>129</v>
      </c>
      <c r="AB76" s="882"/>
      <c r="AC76" s="871"/>
      <c r="AD76" s="832" t="s">
        <v>128</v>
      </c>
      <c r="AE76" s="790"/>
      <c r="AF76" s="786"/>
      <c r="AG76" s="852" t="s">
        <v>2167</v>
      </c>
      <c r="AH76" s="853"/>
      <c r="AI76" s="791"/>
      <c r="AJ76" s="852" t="s">
        <v>2168</v>
      </c>
      <c r="AK76" s="853"/>
      <c r="AL76" s="791"/>
      <c r="AM76" s="866" t="s">
        <v>1989</v>
      </c>
    </row>
    <row r="77" spans="3:39">
      <c r="C77" s="2622"/>
      <c r="D77" s="2622"/>
      <c r="E77" s="2619"/>
      <c r="F77" s="2618"/>
      <c r="G77" s="2619"/>
      <c r="H77" s="2618"/>
      <c r="I77" s="2619"/>
      <c r="J77" s="2618"/>
      <c r="K77" s="2619"/>
      <c r="L77" s="2618"/>
      <c r="M77" s="2618"/>
      <c r="N77" s="2618"/>
      <c r="O77" s="2618"/>
      <c r="P77" s="2618"/>
      <c r="Q77" s="883">
        <v>44962</v>
      </c>
      <c r="R77" s="861" t="s">
        <v>1984</v>
      </c>
      <c r="S77" s="861"/>
      <c r="T77" s="884">
        <v>46787</v>
      </c>
      <c r="U77" s="885">
        <v>45061</v>
      </c>
      <c r="V77" s="828" t="s">
        <v>1984</v>
      </c>
      <c r="W77" s="886">
        <v>46156</v>
      </c>
      <c r="X77" s="857">
        <v>45352</v>
      </c>
      <c r="Y77" s="835" t="s">
        <v>1984</v>
      </c>
      <c r="Z77" s="836">
        <v>45716</v>
      </c>
      <c r="AA77" s="883">
        <v>45231</v>
      </c>
      <c r="AB77" s="887" t="s">
        <v>1984</v>
      </c>
      <c r="AC77" s="888">
        <v>47057</v>
      </c>
      <c r="AD77" s="876">
        <v>44927</v>
      </c>
      <c r="AE77" s="781" t="s">
        <v>1984</v>
      </c>
      <c r="AF77" s="804">
        <v>45657</v>
      </c>
      <c r="AG77" s="857">
        <v>45505</v>
      </c>
      <c r="AH77" s="1846" t="s">
        <v>1984</v>
      </c>
      <c r="AI77" s="1845">
        <v>45869</v>
      </c>
      <c r="AJ77" s="857"/>
      <c r="AK77" s="1858"/>
      <c r="AL77" s="1859"/>
      <c r="AM77" s="869"/>
    </row>
    <row r="78" spans="3:39">
      <c r="C78" s="2622"/>
      <c r="D78" s="2622">
        <v>8</v>
      </c>
      <c r="E78" s="2619">
        <v>2141.38</v>
      </c>
      <c r="F78" s="2618">
        <f t="shared" si="69"/>
        <v>647.76745000000005</v>
      </c>
      <c r="G78" s="2619">
        <v>813.2</v>
      </c>
      <c r="H78" s="2618">
        <f t="shared" si="70"/>
        <v>245.99299999999999</v>
      </c>
      <c r="I78" s="2619">
        <v>1811.8</v>
      </c>
      <c r="J78" s="2618">
        <f t="shared" si="71"/>
        <v>548.06949999999995</v>
      </c>
      <c r="K78" s="2619">
        <v>688.07484599999998</v>
      </c>
      <c r="L78" s="2618">
        <f t="shared" si="72"/>
        <v>208.14264091499999</v>
      </c>
      <c r="M78" s="2618">
        <f t="shared" ref="M78:P78" si="83">E78-I78</f>
        <v>329.58000000000015</v>
      </c>
      <c r="N78" s="2618">
        <f t="shared" si="83"/>
        <v>99.697950000000105</v>
      </c>
      <c r="O78" s="2618">
        <f t="shared" si="83"/>
        <v>125.12515400000007</v>
      </c>
      <c r="P78" s="2618">
        <f t="shared" si="83"/>
        <v>37.850359085000008</v>
      </c>
      <c r="Q78" s="858" t="s">
        <v>129</v>
      </c>
      <c r="R78" s="858"/>
      <c r="S78" s="858"/>
      <c r="T78" s="858"/>
      <c r="U78" s="858"/>
      <c r="V78" s="827" t="s">
        <v>126</v>
      </c>
      <c r="W78" s="816"/>
      <c r="X78" s="816"/>
      <c r="Y78" s="821"/>
      <c r="Z78" s="858" t="s">
        <v>129</v>
      </c>
      <c r="AA78" s="858"/>
      <c r="AB78" s="858"/>
      <c r="AC78" s="858"/>
      <c r="AD78" s="788" t="s">
        <v>127</v>
      </c>
      <c r="AE78" s="788"/>
      <c r="AF78" s="788"/>
      <c r="AG78" s="788"/>
      <c r="AH78" s="809" t="s">
        <v>2169</v>
      </c>
      <c r="AI78" s="809"/>
      <c r="AJ78" s="889"/>
      <c r="AK78" s="890"/>
      <c r="AL78" s="809"/>
      <c r="AM78" s="866" t="s">
        <v>1989</v>
      </c>
    </row>
    <row r="79" spans="3:39">
      <c r="C79" s="2622"/>
      <c r="D79" s="2622"/>
      <c r="E79" s="2619"/>
      <c r="F79" s="2618"/>
      <c r="G79" s="2619"/>
      <c r="H79" s="2618"/>
      <c r="I79" s="2619"/>
      <c r="J79" s="2618"/>
      <c r="K79" s="2619"/>
      <c r="L79" s="2618"/>
      <c r="M79" s="2618"/>
      <c r="N79" s="2618"/>
      <c r="O79" s="2618"/>
      <c r="P79" s="2618"/>
      <c r="Q79" s="860">
        <v>45352</v>
      </c>
      <c r="R79" s="861"/>
      <c r="S79" s="862" t="s">
        <v>1984</v>
      </c>
      <c r="T79" s="863">
        <v>46953</v>
      </c>
      <c r="U79" s="864"/>
      <c r="V79" s="885">
        <v>45261</v>
      </c>
      <c r="W79" s="818" t="s">
        <v>1984</v>
      </c>
      <c r="X79" s="854"/>
      <c r="Y79" s="885">
        <v>46356</v>
      </c>
      <c r="Z79" s="883">
        <v>45127</v>
      </c>
      <c r="AA79" s="861" t="s">
        <v>1984</v>
      </c>
      <c r="AB79" s="891"/>
      <c r="AC79" s="884">
        <v>46953</v>
      </c>
      <c r="AD79" s="857">
        <v>44652</v>
      </c>
      <c r="AE79" s="793" t="s">
        <v>1984</v>
      </c>
      <c r="AF79" s="849"/>
      <c r="AG79" s="807">
        <v>45747</v>
      </c>
      <c r="AH79" s="815"/>
      <c r="AI79" s="892"/>
      <c r="AJ79" s="893" t="s">
        <v>1984</v>
      </c>
      <c r="AK79" s="892"/>
      <c r="AL79" s="894"/>
      <c r="AM79" s="869"/>
    </row>
    <row r="80" spans="3:39">
      <c r="C80" s="2622"/>
      <c r="D80" s="2622">
        <v>7</v>
      </c>
      <c r="E80" s="2619">
        <v>2348.36</v>
      </c>
      <c r="F80" s="2618">
        <f t="shared" si="69"/>
        <v>710.37890000000004</v>
      </c>
      <c r="G80" s="2619">
        <v>861.38782800000001</v>
      </c>
      <c r="H80" s="2618">
        <f t="shared" si="70"/>
        <v>260.56981796999997</v>
      </c>
      <c r="I80" s="2619">
        <v>2348.36</v>
      </c>
      <c r="J80" s="2618">
        <f t="shared" si="71"/>
        <v>710.37890000000004</v>
      </c>
      <c r="K80" s="2619">
        <v>861.38782800000001</v>
      </c>
      <c r="L80" s="2618">
        <f t="shared" si="72"/>
        <v>260.56981796999997</v>
      </c>
      <c r="M80" s="2618">
        <f t="shared" ref="M80:P80" si="84">E80-I80</f>
        <v>0</v>
      </c>
      <c r="N80" s="2618">
        <f t="shared" si="84"/>
        <v>0</v>
      </c>
      <c r="O80" s="2618">
        <f t="shared" si="84"/>
        <v>0</v>
      </c>
      <c r="P80" s="2618">
        <f t="shared" si="84"/>
        <v>0</v>
      </c>
      <c r="Q80" s="789" t="s">
        <v>124</v>
      </c>
      <c r="R80" s="789"/>
      <c r="S80" s="789"/>
      <c r="T80" s="789"/>
      <c r="U80" s="789"/>
      <c r="V80" s="789"/>
      <c r="W80" s="789"/>
      <c r="X80" s="789"/>
      <c r="Y80" s="789"/>
      <c r="Z80" s="858" t="s">
        <v>124</v>
      </c>
      <c r="AA80" s="858"/>
      <c r="AB80" s="858"/>
      <c r="AC80" s="858"/>
      <c r="AD80" s="858"/>
      <c r="AE80" s="858"/>
      <c r="AF80" s="858"/>
      <c r="AG80" s="791" t="s">
        <v>126</v>
      </c>
      <c r="AH80" s="788"/>
      <c r="AI80" s="788"/>
      <c r="AJ80" s="852"/>
      <c r="AK80" s="791"/>
      <c r="AL80" s="788"/>
      <c r="AM80" s="866" t="s">
        <v>1989</v>
      </c>
    </row>
    <row r="81" spans="3:39">
      <c r="C81" s="2622"/>
      <c r="D81" s="2622"/>
      <c r="E81" s="2619"/>
      <c r="F81" s="2618"/>
      <c r="G81" s="2619"/>
      <c r="H81" s="2618"/>
      <c r="I81" s="2619"/>
      <c r="J81" s="2618"/>
      <c r="K81" s="2619"/>
      <c r="L81" s="2618"/>
      <c r="M81" s="2618"/>
      <c r="N81" s="2618"/>
      <c r="O81" s="2618"/>
      <c r="P81" s="2618"/>
      <c r="Q81" s="796">
        <v>45391</v>
      </c>
      <c r="R81" s="797"/>
      <c r="S81" s="797"/>
      <c r="T81" s="797"/>
      <c r="U81" s="798" t="s">
        <v>1984</v>
      </c>
      <c r="V81" s="799">
        <v>47216</v>
      </c>
      <c r="W81" s="797"/>
      <c r="X81" s="797"/>
      <c r="Y81" s="800"/>
      <c r="Z81" s="860">
        <v>45047</v>
      </c>
      <c r="AA81" s="861"/>
      <c r="AB81" s="861"/>
      <c r="AC81" s="862" t="s">
        <v>1984</v>
      </c>
      <c r="AD81" s="863">
        <v>46873</v>
      </c>
      <c r="AE81" s="861"/>
      <c r="AF81" s="864"/>
      <c r="AG81" s="794">
        <v>44805</v>
      </c>
      <c r="AH81" s="793"/>
      <c r="AI81" s="793" t="s">
        <v>1984</v>
      </c>
      <c r="AJ81" s="793"/>
      <c r="AK81" s="794">
        <v>45900</v>
      </c>
      <c r="AL81" s="795"/>
      <c r="AM81" s="869"/>
    </row>
    <row r="82" spans="3:39">
      <c r="C82" s="2622"/>
      <c r="D82" s="2622">
        <v>6</v>
      </c>
      <c r="E82" s="2619">
        <v>2173.3000000000002</v>
      </c>
      <c r="F82" s="2618">
        <f t="shared" si="69"/>
        <v>657.42325000000005</v>
      </c>
      <c r="G82" s="2619">
        <v>802.37</v>
      </c>
      <c r="H82" s="2618">
        <f t="shared" si="70"/>
        <v>242.716925</v>
      </c>
      <c r="I82" s="2619">
        <v>2173.3000000000002</v>
      </c>
      <c r="J82" s="2618">
        <f t="shared" si="71"/>
        <v>657.42325000000005</v>
      </c>
      <c r="K82" s="2619">
        <v>802.37</v>
      </c>
      <c r="L82" s="2618">
        <f t="shared" si="72"/>
        <v>242.716925</v>
      </c>
      <c r="M82" s="2618">
        <f t="shared" ref="M82:P82" si="85">E82-I82</f>
        <v>0</v>
      </c>
      <c r="N82" s="2618">
        <f t="shared" si="85"/>
        <v>0</v>
      </c>
      <c r="O82" s="2618">
        <f t="shared" si="85"/>
        <v>0</v>
      </c>
      <c r="P82" s="2618">
        <f t="shared" si="85"/>
        <v>0</v>
      </c>
      <c r="Q82" s="777" t="s">
        <v>2162</v>
      </c>
      <c r="R82" s="777"/>
      <c r="S82" s="777"/>
      <c r="T82" s="777"/>
      <c r="U82" s="777"/>
      <c r="V82" s="777"/>
      <c r="W82" s="777"/>
      <c r="X82" s="777"/>
      <c r="Y82" s="777"/>
      <c r="Z82" s="777"/>
      <c r="AA82" s="777"/>
      <c r="AB82" s="777"/>
      <c r="AC82" s="786" t="s">
        <v>2162</v>
      </c>
      <c r="AD82" s="777"/>
      <c r="AE82" s="777"/>
      <c r="AF82" s="777"/>
      <c r="AG82" s="777"/>
      <c r="AH82" s="777"/>
      <c r="AI82" s="777"/>
      <c r="AJ82" s="832"/>
      <c r="AK82" s="786"/>
      <c r="AL82" s="777"/>
      <c r="AM82" s="866" t="s">
        <v>1989</v>
      </c>
    </row>
    <row r="83" spans="3:39">
      <c r="C83" s="2622"/>
      <c r="D83" s="2622"/>
      <c r="E83" s="2619"/>
      <c r="F83" s="2618"/>
      <c r="G83" s="2619"/>
      <c r="H83" s="2618"/>
      <c r="I83" s="2619"/>
      <c r="J83" s="2618"/>
      <c r="K83" s="2619"/>
      <c r="L83" s="2618"/>
      <c r="M83" s="2618"/>
      <c r="N83" s="2618"/>
      <c r="O83" s="2618"/>
      <c r="P83" s="2618"/>
      <c r="Q83" s="778">
        <v>43831</v>
      </c>
      <c r="R83" s="780"/>
      <c r="S83" s="780"/>
      <c r="T83" s="780"/>
      <c r="U83" s="780"/>
      <c r="V83" s="780" t="s">
        <v>1984</v>
      </c>
      <c r="W83" s="780"/>
      <c r="X83" s="782">
        <v>45657</v>
      </c>
      <c r="Y83" s="780"/>
      <c r="Z83" s="780"/>
      <c r="AA83" s="780"/>
      <c r="AB83" s="785"/>
      <c r="AC83" s="782">
        <v>44210</v>
      </c>
      <c r="AD83" s="780"/>
      <c r="AE83" s="780"/>
      <c r="AF83" s="780"/>
      <c r="AG83" s="780" t="s">
        <v>1984</v>
      </c>
      <c r="AH83" s="780"/>
      <c r="AI83" s="782">
        <v>45657</v>
      </c>
      <c r="AJ83" s="780"/>
      <c r="AK83" s="780"/>
      <c r="AL83" s="785"/>
      <c r="AM83" s="869"/>
    </row>
    <row r="84" spans="3:39">
      <c r="C84" s="2622"/>
      <c r="D84" s="2622">
        <v>5</v>
      </c>
      <c r="E84" s="2619">
        <v>1999</v>
      </c>
      <c r="F84" s="2618">
        <f t="shared" si="69"/>
        <v>604.69749999999999</v>
      </c>
      <c r="G84" s="2619">
        <v>737.91</v>
      </c>
      <c r="H84" s="2618">
        <f t="shared" si="70"/>
        <v>223.21777499999999</v>
      </c>
      <c r="I84" s="2619">
        <v>1999</v>
      </c>
      <c r="J84" s="2618">
        <f t="shared" si="71"/>
        <v>604.69749999999999</v>
      </c>
      <c r="K84" s="2619">
        <v>737.91</v>
      </c>
      <c r="L84" s="2618">
        <f t="shared" si="72"/>
        <v>223.21777499999999</v>
      </c>
      <c r="M84" s="2618">
        <f t="shared" ref="M84:P84" si="86">E84-I84</f>
        <v>0</v>
      </c>
      <c r="N84" s="2618">
        <f t="shared" si="86"/>
        <v>0</v>
      </c>
      <c r="O84" s="2618">
        <f t="shared" si="86"/>
        <v>0</v>
      </c>
      <c r="P84" s="2618">
        <f t="shared" si="86"/>
        <v>0</v>
      </c>
      <c r="Q84" s="858" t="s">
        <v>124</v>
      </c>
      <c r="R84" s="858"/>
      <c r="S84" s="858"/>
      <c r="T84" s="858"/>
      <c r="U84" s="858"/>
      <c r="V84" s="858"/>
      <c r="W84" s="858"/>
      <c r="X84" s="858"/>
      <c r="Y84" s="858"/>
      <c r="Z84" s="858"/>
      <c r="AA84" s="858"/>
      <c r="AB84" s="858"/>
      <c r="AC84" s="858"/>
      <c r="AD84" s="858"/>
      <c r="AE84" s="858"/>
      <c r="AF84" s="858"/>
      <c r="AG84" s="858"/>
      <c r="AH84" s="858"/>
      <c r="AI84" s="858"/>
      <c r="AJ84" s="872"/>
      <c r="AK84" s="871"/>
      <c r="AL84" s="858"/>
      <c r="AM84" s="866" t="s">
        <v>1989</v>
      </c>
    </row>
    <row r="85" spans="3:39">
      <c r="C85" s="2622"/>
      <c r="D85" s="2622"/>
      <c r="E85" s="2619"/>
      <c r="F85" s="2618"/>
      <c r="G85" s="2619"/>
      <c r="H85" s="2618"/>
      <c r="I85" s="2619"/>
      <c r="J85" s="2618"/>
      <c r="K85" s="2619"/>
      <c r="L85" s="2618"/>
      <c r="M85" s="2618"/>
      <c r="N85" s="2618"/>
      <c r="O85" s="2618"/>
      <c r="P85" s="2618"/>
      <c r="Q85" s="860">
        <v>45047</v>
      </c>
      <c r="R85" s="861"/>
      <c r="S85" s="861"/>
      <c r="T85" s="861"/>
      <c r="U85" s="861"/>
      <c r="V85" s="861"/>
      <c r="W85" s="861"/>
      <c r="X85" s="861"/>
      <c r="Y85" s="861"/>
      <c r="Z85" s="861"/>
      <c r="AA85" s="861" t="s">
        <v>1984</v>
      </c>
      <c r="AB85" s="861"/>
      <c r="AC85" s="863">
        <v>46873</v>
      </c>
      <c r="AD85" s="861"/>
      <c r="AE85" s="861"/>
      <c r="AF85" s="861"/>
      <c r="AG85" s="861"/>
      <c r="AH85" s="861"/>
      <c r="AI85" s="861"/>
      <c r="AJ85" s="861"/>
      <c r="AK85" s="861"/>
      <c r="AL85" s="864"/>
      <c r="AM85" s="869"/>
    </row>
    <row r="86" spans="3:39">
      <c r="C86" s="2622"/>
      <c r="D86" s="2622">
        <v>4</v>
      </c>
      <c r="E86" s="2619">
        <v>2173.46</v>
      </c>
      <c r="F86" s="2618">
        <f t="shared" si="69"/>
        <v>657.47164999999995</v>
      </c>
      <c r="G86" s="2619">
        <v>802.35693778566304</v>
      </c>
      <c r="H86" s="2618">
        <f t="shared" si="70"/>
        <v>242.71297368016306</v>
      </c>
      <c r="I86" s="2619">
        <v>2173.46</v>
      </c>
      <c r="J86" s="2618">
        <f t="shared" si="71"/>
        <v>657.47164999999995</v>
      </c>
      <c r="K86" s="2619">
        <v>802.35693778566304</v>
      </c>
      <c r="L86" s="2618">
        <f t="shared" si="72"/>
        <v>242.71297368016306</v>
      </c>
      <c r="M86" s="2618">
        <f t="shared" ref="M86:P86" si="87">E86-I86</f>
        <v>0</v>
      </c>
      <c r="N86" s="2618">
        <f t="shared" si="87"/>
        <v>0</v>
      </c>
      <c r="O86" s="2618">
        <f t="shared" si="87"/>
        <v>0</v>
      </c>
      <c r="P86" s="2618">
        <f t="shared" si="87"/>
        <v>0</v>
      </c>
      <c r="Q86" s="816" t="s">
        <v>1988</v>
      </c>
      <c r="R86" s="816"/>
      <c r="S86" s="816"/>
      <c r="T86" s="816"/>
      <c r="U86" s="816"/>
      <c r="V86" s="816"/>
      <c r="W86" s="816"/>
      <c r="X86" s="816"/>
      <c r="Y86" s="816"/>
      <c r="Z86" s="816"/>
      <c r="AA86" s="816"/>
      <c r="AB86" s="816"/>
      <c r="AC86" s="827" t="s">
        <v>1988</v>
      </c>
      <c r="AD86" s="816"/>
      <c r="AE86" s="816"/>
      <c r="AF86" s="816"/>
      <c r="AG86" s="816"/>
      <c r="AH86" s="816"/>
      <c r="AI86" s="816"/>
      <c r="AJ86" s="821"/>
      <c r="AK86" s="827"/>
      <c r="AL86" s="816"/>
      <c r="AM86" s="866" t="s">
        <v>1989</v>
      </c>
    </row>
    <row r="87" spans="3:39">
      <c r="C87" s="2622"/>
      <c r="D87" s="2622"/>
      <c r="E87" s="2619"/>
      <c r="F87" s="2618"/>
      <c r="G87" s="2619"/>
      <c r="H87" s="2618"/>
      <c r="I87" s="2619"/>
      <c r="J87" s="2618"/>
      <c r="K87" s="2619"/>
      <c r="L87" s="2618"/>
      <c r="M87" s="2618"/>
      <c r="N87" s="2618"/>
      <c r="O87" s="2618"/>
      <c r="P87" s="2618"/>
      <c r="Q87" s="817">
        <v>45004</v>
      </c>
      <c r="R87" s="818"/>
      <c r="S87" s="818"/>
      <c r="T87" s="818"/>
      <c r="U87" s="818"/>
      <c r="V87" s="818" t="s">
        <v>1984</v>
      </c>
      <c r="W87" s="818"/>
      <c r="X87" s="819">
        <v>46099</v>
      </c>
      <c r="Y87" s="818"/>
      <c r="Z87" s="818"/>
      <c r="AA87" s="818"/>
      <c r="AB87" s="820"/>
      <c r="AC87" s="819">
        <v>45004</v>
      </c>
      <c r="AD87" s="818"/>
      <c r="AE87" s="818"/>
      <c r="AF87" s="818"/>
      <c r="AG87" s="818" t="s">
        <v>1984</v>
      </c>
      <c r="AH87" s="818"/>
      <c r="AI87" s="819">
        <v>46099</v>
      </c>
      <c r="AJ87" s="818"/>
      <c r="AK87" s="818"/>
      <c r="AL87" s="820"/>
      <c r="AM87" s="869"/>
    </row>
    <row r="88" spans="3:39">
      <c r="C88" s="2622"/>
      <c r="D88" s="2622">
        <v>3</v>
      </c>
      <c r="E88" s="2619">
        <v>2175.34</v>
      </c>
      <c r="F88" s="2618">
        <f t="shared" si="69"/>
        <v>658.04034999999999</v>
      </c>
      <c r="G88" s="2619">
        <v>802.31</v>
      </c>
      <c r="H88" s="2618">
        <f t="shared" si="70"/>
        <v>242.69877499999998</v>
      </c>
      <c r="I88" s="2619">
        <v>2175.34</v>
      </c>
      <c r="J88" s="2618">
        <f t="shared" si="71"/>
        <v>658.04034999999999</v>
      </c>
      <c r="K88" s="2619">
        <v>802.31</v>
      </c>
      <c r="L88" s="2618">
        <f t="shared" si="72"/>
        <v>242.69877499999998</v>
      </c>
      <c r="M88" s="2618">
        <f t="shared" ref="M88:P88" si="88">E88-I88</f>
        <v>0</v>
      </c>
      <c r="N88" s="2618">
        <f t="shared" si="88"/>
        <v>0</v>
      </c>
      <c r="O88" s="2618">
        <f t="shared" si="88"/>
        <v>0</v>
      </c>
      <c r="P88" s="2618">
        <f t="shared" si="88"/>
        <v>0</v>
      </c>
      <c r="Q88" s="788" t="s">
        <v>2170</v>
      </c>
      <c r="R88" s="788"/>
      <c r="S88" s="788"/>
      <c r="T88" s="788"/>
      <c r="U88" s="788"/>
      <c r="V88" s="788"/>
      <c r="W88" s="788"/>
      <c r="X88" s="788"/>
      <c r="Y88" s="788"/>
      <c r="Z88" s="788"/>
      <c r="AA88" s="788"/>
      <c r="AB88" s="788"/>
      <c r="AC88" s="788"/>
      <c r="AD88" s="788"/>
      <c r="AE88" s="788"/>
      <c r="AF88" s="788"/>
      <c r="AG88" s="788"/>
      <c r="AH88" s="788"/>
      <c r="AI88" s="788"/>
      <c r="AJ88" s="852"/>
      <c r="AK88" s="791"/>
      <c r="AL88" s="788"/>
      <c r="AM88" s="866" t="s">
        <v>1989</v>
      </c>
    </row>
    <row r="89" spans="3:39">
      <c r="C89" s="2622"/>
      <c r="D89" s="2622"/>
      <c r="E89" s="2619"/>
      <c r="F89" s="2618"/>
      <c r="G89" s="2619"/>
      <c r="H89" s="2618"/>
      <c r="I89" s="2619"/>
      <c r="J89" s="2618"/>
      <c r="K89" s="2619"/>
      <c r="L89" s="2618"/>
      <c r="M89" s="2618"/>
      <c r="N89" s="2618"/>
      <c r="O89" s="2618"/>
      <c r="P89" s="2618"/>
      <c r="Q89" s="792">
        <v>45474</v>
      </c>
      <c r="R89" s="793"/>
      <c r="S89" s="793"/>
      <c r="T89" s="793"/>
      <c r="U89" s="793"/>
      <c r="V89" s="793"/>
      <c r="W89" s="793"/>
      <c r="X89" s="793"/>
      <c r="Y89" s="793"/>
      <c r="Z89" s="793"/>
      <c r="AA89" s="793" t="s">
        <v>1984</v>
      </c>
      <c r="AB89" s="793"/>
      <c r="AC89" s="794">
        <v>45838</v>
      </c>
      <c r="AD89" s="793"/>
      <c r="AE89" s="793"/>
      <c r="AF89" s="793"/>
      <c r="AG89" s="793"/>
      <c r="AH89" s="793"/>
      <c r="AI89" s="793"/>
      <c r="AJ89" s="793"/>
      <c r="AK89" s="793"/>
      <c r="AL89" s="795"/>
      <c r="AM89" s="869"/>
    </row>
    <row r="90" spans="3:39">
      <c r="C90" s="2622"/>
      <c r="D90" s="2622">
        <v>2</v>
      </c>
      <c r="E90" s="2619">
        <v>0</v>
      </c>
      <c r="F90" s="2618">
        <f t="shared" si="69"/>
        <v>0</v>
      </c>
      <c r="G90" s="2619">
        <v>0</v>
      </c>
      <c r="H90" s="2618">
        <f t="shared" si="70"/>
        <v>0</v>
      </c>
      <c r="I90" s="2619">
        <v>0</v>
      </c>
      <c r="J90" s="2618">
        <f t="shared" si="71"/>
        <v>0</v>
      </c>
      <c r="K90" s="2619">
        <v>0</v>
      </c>
      <c r="L90" s="2618">
        <f t="shared" si="72"/>
        <v>0</v>
      </c>
      <c r="M90" s="2618">
        <f t="shared" ref="M90:P90" si="89">E90-I90</f>
        <v>0</v>
      </c>
      <c r="N90" s="2618">
        <f t="shared" si="89"/>
        <v>0</v>
      </c>
      <c r="O90" s="2618">
        <f t="shared" si="89"/>
        <v>0</v>
      </c>
      <c r="P90" s="2618">
        <f t="shared" si="89"/>
        <v>0</v>
      </c>
      <c r="Q90" s="873" t="s">
        <v>1990</v>
      </c>
      <c r="R90" s="874"/>
      <c r="S90" s="874"/>
      <c r="T90" s="874"/>
      <c r="U90" s="874"/>
      <c r="V90" s="874"/>
      <c r="W90" s="874"/>
      <c r="X90" s="874"/>
      <c r="Y90" s="874"/>
      <c r="Z90" s="874"/>
      <c r="AA90" s="874"/>
      <c r="AB90" s="875"/>
      <c r="AC90" s="895" t="s">
        <v>1989</v>
      </c>
      <c r="AD90" s="896"/>
      <c r="AE90" s="896"/>
      <c r="AF90" s="896"/>
      <c r="AG90" s="896"/>
      <c r="AH90" s="896"/>
      <c r="AI90" s="896"/>
      <c r="AJ90" s="896"/>
      <c r="AK90" s="896"/>
      <c r="AL90" s="896"/>
      <c r="AM90" s="897"/>
    </row>
    <row r="91" spans="3:39">
      <c r="C91" s="2622"/>
      <c r="D91" s="2622"/>
      <c r="E91" s="2619"/>
      <c r="F91" s="2618"/>
      <c r="G91" s="2619"/>
      <c r="H91" s="2618"/>
      <c r="I91" s="2619"/>
      <c r="J91" s="2618"/>
      <c r="K91" s="2619"/>
      <c r="L91" s="2618"/>
      <c r="M91" s="2618"/>
      <c r="N91" s="2618"/>
      <c r="O91" s="2618"/>
      <c r="P91" s="2618"/>
      <c r="Q91" s="898"/>
      <c r="R91" s="899"/>
      <c r="S91" s="899"/>
      <c r="T91" s="899"/>
      <c r="U91" s="899"/>
      <c r="V91" s="899"/>
      <c r="W91" s="899"/>
      <c r="X91" s="899"/>
      <c r="Y91" s="899"/>
      <c r="Z91" s="899"/>
      <c r="AA91" s="899"/>
      <c r="AB91" s="900"/>
      <c r="AC91" s="850"/>
      <c r="AD91" s="865"/>
      <c r="AE91" s="865"/>
      <c r="AF91" s="865"/>
      <c r="AG91" s="865"/>
      <c r="AH91" s="865"/>
      <c r="AI91" s="865"/>
      <c r="AJ91" s="865"/>
      <c r="AK91" s="865"/>
      <c r="AL91" s="865"/>
      <c r="AM91" s="851"/>
    </row>
    <row r="92" spans="3:39">
      <c r="C92" s="2622"/>
      <c r="D92" s="2622">
        <v>1</v>
      </c>
      <c r="E92" s="2619">
        <v>0</v>
      </c>
      <c r="F92" s="2618">
        <f t="shared" si="69"/>
        <v>0</v>
      </c>
      <c r="G92" s="2619">
        <v>0</v>
      </c>
      <c r="H92" s="2618">
        <f t="shared" si="70"/>
        <v>0</v>
      </c>
      <c r="I92" s="2619">
        <v>0</v>
      </c>
      <c r="J92" s="2618">
        <f t="shared" si="71"/>
        <v>0</v>
      </c>
      <c r="K92" s="2619">
        <v>0</v>
      </c>
      <c r="L92" s="2618">
        <f t="shared" si="72"/>
        <v>0</v>
      </c>
      <c r="M92" s="2618">
        <f t="shared" ref="M92:P92" si="90">E92-I92</f>
        <v>0</v>
      </c>
      <c r="N92" s="2618">
        <f t="shared" si="90"/>
        <v>0</v>
      </c>
      <c r="O92" s="2618">
        <f t="shared" si="90"/>
        <v>0</v>
      </c>
      <c r="P92" s="2618">
        <f t="shared" si="90"/>
        <v>0</v>
      </c>
      <c r="Q92" s="873" t="s">
        <v>1990</v>
      </c>
      <c r="R92" s="874"/>
      <c r="S92" s="874"/>
      <c r="T92" s="874"/>
      <c r="U92" s="874"/>
      <c r="V92" s="874"/>
      <c r="W92" s="874"/>
      <c r="X92" s="874"/>
      <c r="Y92" s="874"/>
      <c r="Z92" s="874"/>
      <c r="AA92" s="874"/>
      <c r="AB92" s="875"/>
      <c r="AC92" s="895" t="s">
        <v>1989</v>
      </c>
      <c r="AD92" s="896"/>
      <c r="AE92" s="896"/>
      <c r="AF92" s="896"/>
      <c r="AG92" s="896"/>
      <c r="AH92" s="896"/>
      <c r="AI92" s="896"/>
      <c r="AJ92" s="896"/>
      <c r="AK92" s="896"/>
      <c r="AL92" s="896"/>
      <c r="AM92" s="897"/>
    </row>
    <row r="93" spans="3:39">
      <c r="C93" s="2622"/>
      <c r="D93" s="2622"/>
      <c r="E93" s="2619"/>
      <c r="F93" s="2618"/>
      <c r="G93" s="2619"/>
      <c r="H93" s="2618"/>
      <c r="I93" s="2619"/>
      <c r="J93" s="2618"/>
      <c r="K93" s="2619"/>
      <c r="L93" s="2618"/>
      <c r="M93" s="2618"/>
      <c r="N93" s="2618"/>
      <c r="O93" s="2618"/>
      <c r="P93" s="2618"/>
      <c r="Q93" s="879"/>
      <c r="R93" s="880"/>
      <c r="S93" s="880"/>
      <c r="T93" s="880"/>
      <c r="U93" s="880"/>
      <c r="V93" s="880"/>
      <c r="W93" s="880"/>
      <c r="X93" s="880"/>
      <c r="Y93" s="880"/>
      <c r="Z93" s="880"/>
      <c r="AA93" s="880"/>
      <c r="AB93" s="881"/>
      <c r="AC93" s="850"/>
      <c r="AD93" s="865"/>
      <c r="AE93" s="865"/>
      <c r="AF93" s="865"/>
      <c r="AG93" s="865"/>
      <c r="AH93" s="865"/>
      <c r="AI93" s="865"/>
      <c r="AJ93" s="865"/>
      <c r="AK93" s="865"/>
      <c r="AL93" s="865"/>
      <c r="AM93" s="851"/>
    </row>
    <row r="94" spans="3:39">
      <c r="C94" s="2622"/>
      <c r="D94" s="2622" t="s">
        <v>1926</v>
      </c>
      <c r="E94" s="2619">
        <v>613.66</v>
      </c>
      <c r="F94" s="2618">
        <f t="shared" si="69"/>
        <v>185.63215</v>
      </c>
      <c r="G94" s="2619">
        <v>250.54429521908563</v>
      </c>
      <c r="H94" s="2618">
        <f t="shared" si="70"/>
        <v>75.789649303773402</v>
      </c>
      <c r="I94" s="2619">
        <v>613.66</v>
      </c>
      <c r="J94" s="2618">
        <f t="shared" si="71"/>
        <v>185.63215</v>
      </c>
      <c r="K94" s="2619">
        <v>250.54429521908563</v>
      </c>
      <c r="L94" s="2618">
        <f t="shared" si="72"/>
        <v>75.789649303773402</v>
      </c>
      <c r="M94" s="2618">
        <f t="shared" ref="M94:P94" si="91">E94-I94</f>
        <v>0</v>
      </c>
      <c r="N94" s="2618">
        <f t="shared" si="91"/>
        <v>0</v>
      </c>
      <c r="O94" s="2618">
        <f t="shared" si="91"/>
        <v>0</v>
      </c>
      <c r="P94" s="2618">
        <f t="shared" si="91"/>
        <v>0</v>
      </c>
      <c r="Q94" s="788" t="s">
        <v>154</v>
      </c>
      <c r="R94" s="788"/>
      <c r="S94" s="788"/>
      <c r="T94" s="788"/>
      <c r="U94" s="788"/>
      <c r="V94" s="788"/>
      <c r="W94" s="788"/>
      <c r="X94" s="852"/>
      <c r="Y94" s="788" t="s">
        <v>1991</v>
      </c>
      <c r="Z94" s="788"/>
      <c r="AA94" s="788"/>
      <c r="AB94" s="788"/>
      <c r="AC94" s="895" t="s">
        <v>1989</v>
      </c>
      <c r="AD94" s="896"/>
      <c r="AE94" s="896"/>
      <c r="AF94" s="896"/>
      <c r="AG94" s="896"/>
      <c r="AH94" s="896"/>
      <c r="AI94" s="896"/>
      <c r="AJ94" s="896"/>
      <c r="AK94" s="896"/>
      <c r="AL94" s="896"/>
      <c r="AM94" s="897"/>
    </row>
    <row r="95" spans="3:39">
      <c r="C95" s="2622"/>
      <c r="D95" s="2622"/>
      <c r="E95" s="2619"/>
      <c r="F95" s="2618"/>
      <c r="G95" s="2619"/>
      <c r="H95" s="2618"/>
      <c r="I95" s="2619"/>
      <c r="J95" s="2618"/>
      <c r="K95" s="2619"/>
      <c r="L95" s="2618"/>
      <c r="M95" s="2618"/>
      <c r="N95" s="2618"/>
      <c r="O95" s="2618"/>
      <c r="P95" s="2618"/>
      <c r="Q95" s="792">
        <v>44136</v>
      </c>
      <c r="R95" s="793"/>
      <c r="S95" s="793"/>
      <c r="T95" s="793" t="s">
        <v>1984</v>
      </c>
      <c r="U95" s="793"/>
      <c r="V95" s="794">
        <v>45961</v>
      </c>
      <c r="W95" s="793"/>
      <c r="X95" s="793"/>
      <c r="Y95" s="857">
        <v>44713</v>
      </c>
      <c r="Z95" s="793" t="s">
        <v>1984</v>
      </c>
      <c r="AA95" s="793"/>
      <c r="AB95" s="807">
        <v>45808</v>
      </c>
      <c r="AC95" s="850"/>
      <c r="AD95" s="865"/>
      <c r="AE95" s="865"/>
      <c r="AF95" s="865"/>
      <c r="AG95" s="865"/>
      <c r="AH95" s="865"/>
      <c r="AI95" s="865"/>
      <c r="AJ95" s="865"/>
      <c r="AK95" s="865"/>
      <c r="AL95" s="865"/>
      <c r="AM95" s="851"/>
    </row>
    <row r="96" spans="3:39" ht="36" customHeight="1">
      <c r="C96" s="1860" t="s">
        <v>1817</v>
      </c>
      <c r="D96" s="1860"/>
      <c r="E96" s="1861">
        <f>SUM(E58:E95)</f>
        <v>36586.500000000015</v>
      </c>
      <c r="F96" s="1861">
        <f t="shared" ref="F96:P96" si="92">SUM(F58:F95)</f>
        <v>11067.416249999998</v>
      </c>
      <c r="G96" s="1861">
        <f t="shared" si="92"/>
        <v>14002.269061004752</v>
      </c>
      <c r="H96" s="1861">
        <f t="shared" si="92"/>
        <v>4235.6863909539361</v>
      </c>
      <c r="I96" s="1861">
        <f t="shared" si="92"/>
        <v>36056.11</v>
      </c>
      <c r="J96" s="1861">
        <f t="shared" si="92"/>
        <v>10906.973274999998</v>
      </c>
      <c r="K96" s="1861">
        <f t="shared" si="92"/>
        <v>13804.03390700475</v>
      </c>
      <c r="L96" s="1861">
        <f t="shared" si="92"/>
        <v>4175.7202568689363</v>
      </c>
      <c r="M96" s="1861">
        <f t="shared" si="92"/>
        <v>530.3900000000001</v>
      </c>
      <c r="N96" s="1861">
        <f t="shared" si="92"/>
        <v>160.44297500000005</v>
      </c>
      <c r="O96" s="1861">
        <f t="shared" si="92"/>
        <v>198.23515400000008</v>
      </c>
      <c r="P96" s="1861">
        <f t="shared" si="92"/>
        <v>59.966134084999993</v>
      </c>
      <c r="Q96" s="2256"/>
      <c r="R96" s="2257"/>
      <c r="S96" s="2257"/>
      <c r="T96" s="2257"/>
      <c r="U96" s="2257"/>
      <c r="V96" s="2257"/>
      <c r="W96" s="2257"/>
      <c r="X96" s="2257"/>
      <c r="Y96" s="2257"/>
      <c r="Z96" s="2257"/>
      <c r="AA96" s="2257"/>
      <c r="AB96" s="2257"/>
      <c r="AC96" s="2257"/>
      <c r="AD96" s="2257"/>
      <c r="AE96" s="2257"/>
      <c r="AF96" s="2257"/>
      <c r="AG96" s="2257"/>
      <c r="AH96" s="2257"/>
      <c r="AI96" s="2257"/>
      <c r="AJ96" s="2257"/>
      <c r="AK96" s="2257"/>
      <c r="AL96" s="2257"/>
      <c r="AM96" s="2258"/>
    </row>
    <row r="97" spans="3:39" ht="36" customHeight="1">
      <c r="C97" s="1860" t="s">
        <v>1932</v>
      </c>
      <c r="D97" s="1860"/>
      <c r="E97" s="1861">
        <f t="shared" ref="E97:P97" si="93">E96+E57+E36</f>
        <v>92714.630000000019</v>
      </c>
      <c r="F97" s="1861">
        <f t="shared" si="93"/>
        <v>28046.175575000001</v>
      </c>
      <c r="G97" s="1861">
        <f t="shared" si="93"/>
        <v>36892.969061004755</v>
      </c>
      <c r="H97" s="1861">
        <f t="shared" si="93"/>
        <v>11160.123140953936</v>
      </c>
      <c r="I97" s="1861">
        <f t="shared" si="93"/>
        <v>92184.24</v>
      </c>
      <c r="J97" s="1861">
        <f t="shared" si="93"/>
        <v>27885.732600000003</v>
      </c>
      <c r="K97" s="1861">
        <f t="shared" si="93"/>
        <v>36694.733907004746</v>
      </c>
      <c r="L97" s="1861">
        <f t="shared" si="93"/>
        <v>11100.157006868936</v>
      </c>
      <c r="M97" s="1861">
        <f t="shared" si="93"/>
        <v>530.3900000000001</v>
      </c>
      <c r="N97" s="1861">
        <f t="shared" si="93"/>
        <v>160.44297500000005</v>
      </c>
      <c r="O97" s="1861">
        <f t="shared" si="93"/>
        <v>198.23515400000008</v>
      </c>
      <c r="P97" s="1861">
        <f t="shared" si="93"/>
        <v>59.966134084999993</v>
      </c>
      <c r="Q97" s="557"/>
      <c r="R97" s="557"/>
      <c r="S97" s="557"/>
      <c r="T97" s="557"/>
      <c r="U97" s="557"/>
      <c r="V97" s="557"/>
      <c r="W97" s="557"/>
      <c r="X97" s="557"/>
      <c r="Y97" s="557"/>
      <c r="Z97" s="557"/>
      <c r="AA97" s="557"/>
      <c r="AB97" s="557"/>
      <c r="AC97" s="557"/>
      <c r="AD97" s="557"/>
      <c r="AE97" s="557"/>
      <c r="AF97" s="557"/>
      <c r="AG97" s="557"/>
      <c r="AH97" s="557"/>
      <c r="AI97" s="557"/>
      <c r="AJ97" s="557"/>
      <c r="AK97" s="557"/>
      <c r="AL97" s="557"/>
      <c r="AM97" s="557"/>
    </row>
    <row r="98" spans="3:39" ht="34.15" customHeight="1">
      <c r="C98" s="1860" t="s">
        <v>1745</v>
      </c>
      <c r="D98" s="1860"/>
      <c r="E98" s="1862"/>
      <c r="F98" s="1862"/>
      <c r="G98" s="1862"/>
      <c r="H98" s="1862"/>
      <c r="I98" s="1862"/>
      <c r="J98" s="1862"/>
      <c r="K98" s="1862"/>
      <c r="L98" s="1862"/>
      <c r="M98" s="1862"/>
      <c r="N98" s="1862"/>
      <c r="O98" s="1862"/>
      <c r="P98" s="1862"/>
      <c r="Q98" s="557"/>
      <c r="R98" s="557"/>
      <c r="S98" s="557"/>
      <c r="T98" s="557"/>
      <c r="U98" s="557"/>
      <c r="V98" s="557"/>
      <c r="W98" s="557"/>
      <c r="X98" s="557"/>
      <c r="Y98" s="557"/>
      <c r="Z98" s="557"/>
      <c r="AA98" s="557"/>
      <c r="AB98" s="557"/>
      <c r="AC98" s="557"/>
      <c r="AD98" s="557"/>
      <c r="AE98" s="557"/>
      <c r="AF98" s="557"/>
      <c r="AG98" s="557"/>
      <c r="AH98" s="557"/>
      <c r="AI98" s="557"/>
      <c r="AJ98" s="557"/>
      <c r="AK98" s="557"/>
      <c r="AL98" s="557"/>
      <c r="AM98" s="557"/>
    </row>
    <row r="99" spans="3:39">
      <c r="D99" s="2"/>
    </row>
    <row r="100" spans="3:39">
      <c r="D100" s="2"/>
    </row>
    <row r="101" spans="3:39">
      <c r="D101" s="2"/>
    </row>
    <row r="102" spans="3:39">
      <c r="D102" s="2"/>
    </row>
    <row r="103" spans="3:39">
      <c r="D103" s="2"/>
    </row>
    <row r="104" spans="3:39">
      <c r="D104" s="2"/>
    </row>
    <row r="105" spans="3:39">
      <c r="D105" s="2"/>
    </row>
    <row r="106" spans="3:39">
      <c r="D106" s="2"/>
    </row>
    <row r="107" spans="3:39">
      <c r="D107" s="2"/>
    </row>
    <row r="108" spans="3:39">
      <c r="D108" s="2"/>
    </row>
    <row r="109" spans="3:39">
      <c r="D109" s="2"/>
    </row>
    <row r="110" spans="3:39">
      <c r="D110" s="2"/>
    </row>
    <row r="111" spans="3:39">
      <c r="D111" s="2"/>
    </row>
    <row r="112" spans="3:39">
      <c r="D112" s="2"/>
    </row>
    <row r="113" spans="4:4">
      <c r="D113" s="2"/>
    </row>
    <row r="114" spans="4:4">
      <c r="D114" s="2"/>
    </row>
    <row r="115" spans="4:4">
      <c r="D115" s="2"/>
    </row>
    <row r="116" spans="4:4">
      <c r="D116" s="2"/>
    </row>
    <row r="117" spans="4:4">
      <c r="D117" s="2"/>
    </row>
    <row r="118" spans="4:4">
      <c r="D118" s="2"/>
    </row>
    <row r="119" spans="4:4">
      <c r="D119" s="2"/>
    </row>
    <row r="120" spans="4:4">
      <c r="D120" s="2"/>
    </row>
    <row r="121" spans="4:4">
      <c r="D121" s="2"/>
    </row>
    <row r="122" spans="4:4">
      <c r="D122" s="2"/>
    </row>
    <row r="123" spans="4:4">
      <c r="D123" s="2"/>
    </row>
    <row r="124" spans="4:4">
      <c r="D124" s="2"/>
    </row>
    <row r="125" spans="4:4">
      <c r="D125" s="2"/>
    </row>
    <row r="126" spans="4:4">
      <c r="D126" s="2"/>
    </row>
    <row r="127" spans="4:4">
      <c r="D127" s="2"/>
    </row>
    <row r="128" spans="4:4">
      <c r="D128" s="2"/>
    </row>
    <row r="129" spans="4:4">
      <c r="D129" s="2"/>
    </row>
    <row r="130" spans="4:4">
      <c r="D130" s="2"/>
    </row>
    <row r="131" spans="4:4">
      <c r="D131" s="2"/>
    </row>
    <row r="132" spans="4:4">
      <c r="D132" s="2"/>
    </row>
    <row r="133" spans="4:4">
      <c r="D133" s="2"/>
    </row>
    <row r="134" spans="4:4">
      <c r="D134" s="2"/>
    </row>
    <row r="135" spans="4:4">
      <c r="D135" s="2"/>
    </row>
    <row r="136" spans="4:4">
      <c r="D136" s="2"/>
    </row>
    <row r="137" spans="4:4">
      <c r="D137" s="2"/>
    </row>
    <row r="138" spans="4:4">
      <c r="D138" s="2"/>
    </row>
    <row r="139" spans="4:4">
      <c r="D139" s="2"/>
    </row>
    <row r="140" spans="4:4">
      <c r="D140" s="2"/>
    </row>
    <row r="141" spans="4:4">
      <c r="D141" s="2"/>
    </row>
    <row r="142" spans="4:4">
      <c r="D142" s="2"/>
    </row>
    <row r="143" spans="4:4">
      <c r="D143" s="2"/>
    </row>
    <row r="144" spans="4:4">
      <c r="D144" s="2"/>
    </row>
    <row r="145" spans="4:4">
      <c r="D145" s="2"/>
    </row>
    <row r="146" spans="4:4">
      <c r="D146" s="2"/>
    </row>
    <row r="147" spans="4:4">
      <c r="D147" s="2"/>
    </row>
    <row r="148" spans="4:4">
      <c r="D148" s="2"/>
    </row>
    <row r="149" spans="4:4">
      <c r="D149" s="2"/>
    </row>
    <row r="150" spans="4:4">
      <c r="D150" s="2"/>
    </row>
    <row r="151" spans="4:4">
      <c r="D151" s="2"/>
    </row>
    <row r="152" spans="4:4">
      <c r="D152" s="2"/>
    </row>
    <row r="153" spans="4:4">
      <c r="D153" s="2"/>
    </row>
    <row r="154" spans="4:4">
      <c r="D154" s="2"/>
    </row>
    <row r="155" spans="4:4">
      <c r="D155" s="2"/>
    </row>
    <row r="156" spans="4:4">
      <c r="D156" s="2"/>
    </row>
    <row r="157" spans="4:4">
      <c r="D157" s="2"/>
    </row>
    <row r="158" spans="4:4">
      <c r="D158" s="2"/>
    </row>
    <row r="159" spans="4:4">
      <c r="D159" s="2"/>
    </row>
    <row r="160" spans="4:4">
      <c r="D160" s="2"/>
    </row>
  </sheetData>
  <mergeCells count="540">
    <mergeCell ref="C9:C11"/>
    <mergeCell ref="D9:D11"/>
    <mergeCell ref="Q9:AM11"/>
    <mergeCell ref="C5:E6"/>
    <mergeCell ref="N14:N15"/>
    <mergeCell ref="O14:O15"/>
    <mergeCell ref="P14:P15"/>
    <mergeCell ref="F16:F17"/>
    <mergeCell ref="G16:G17"/>
    <mergeCell ref="H16:H17"/>
    <mergeCell ref="I16:I17"/>
    <mergeCell ref="J16:J17"/>
    <mergeCell ref="D12:D13"/>
    <mergeCell ref="E12:E13"/>
    <mergeCell ref="N12:N13"/>
    <mergeCell ref="O12:O13"/>
    <mergeCell ref="P12:P13"/>
    <mergeCell ref="F14:F15"/>
    <mergeCell ref="G14:G15"/>
    <mergeCell ref="C12:C35"/>
    <mergeCell ref="F12:F13"/>
    <mergeCell ref="G12:G13"/>
    <mergeCell ref="H12:H13"/>
    <mergeCell ref="I12:I13"/>
    <mergeCell ref="D18:D19"/>
    <mergeCell ref="E18:E19"/>
    <mergeCell ref="D20:D21"/>
    <mergeCell ref="E20:E21"/>
    <mergeCell ref="F20:F21"/>
    <mergeCell ref="G20:G21"/>
    <mergeCell ref="H20:H21"/>
    <mergeCell ref="I20:I21"/>
    <mergeCell ref="J20:J21"/>
    <mergeCell ref="K20:K21"/>
    <mergeCell ref="L20:L21"/>
    <mergeCell ref="M20:M21"/>
    <mergeCell ref="N20:N21"/>
    <mergeCell ref="O20:O21"/>
    <mergeCell ref="P20:P21"/>
    <mergeCell ref="D14:D15"/>
    <mergeCell ref="E14:E15"/>
    <mergeCell ref="D16:D17"/>
    <mergeCell ref="E16:E17"/>
    <mergeCell ref="K16:K17"/>
    <mergeCell ref="L16:L17"/>
    <mergeCell ref="M16:M17"/>
    <mergeCell ref="N16:N17"/>
    <mergeCell ref="O16:O17"/>
    <mergeCell ref="P16:P17"/>
    <mergeCell ref="F18:F19"/>
    <mergeCell ref="G18:G19"/>
    <mergeCell ref="H18:H19"/>
    <mergeCell ref="I18:I19"/>
    <mergeCell ref="J18:J19"/>
    <mergeCell ref="K18:K19"/>
    <mergeCell ref="L18:L19"/>
    <mergeCell ref="M18:M19"/>
    <mergeCell ref="J12:J13"/>
    <mergeCell ref="K12:K13"/>
    <mergeCell ref="L12:L13"/>
    <mergeCell ref="M12:M13"/>
    <mergeCell ref="H14:H15"/>
    <mergeCell ref="I14:I15"/>
    <mergeCell ref="J14:J15"/>
    <mergeCell ref="K14:K15"/>
    <mergeCell ref="L14:L15"/>
    <mergeCell ref="M14:M15"/>
    <mergeCell ref="D26:D27"/>
    <mergeCell ref="E26:E27"/>
    <mergeCell ref="D34:D35"/>
    <mergeCell ref="E34:E35"/>
    <mergeCell ref="D28:D29"/>
    <mergeCell ref="E28:E29"/>
    <mergeCell ref="D30:D31"/>
    <mergeCell ref="E30:E31"/>
    <mergeCell ref="D22:D23"/>
    <mergeCell ref="E22:E23"/>
    <mergeCell ref="D24:D25"/>
    <mergeCell ref="E24:E25"/>
    <mergeCell ref="J39:J40"/>
    <mergeCell ref="K39:K40"/>
    <mergeCell ref="L39:L40"/>
    <mergeCell ref="M39:M40"/>
    <mergeCell ref="N39:N40"/>
    <mergeCell ref="O39:O40"/>
    <mergeCell ref="P39:P40"/>
    <mergeCell ref="D32:D33"/>
    <mergeCell ref="E32:E33"/>
    <mergeCell ref="F34:F35"/>
    <mergeCell ref="G34:G35"/>
    <mergeCell ref="H34:H35"/>
    <mergeCell ref="I34:I35"/>
    <mergeCell ref="J34:J35"/>
    <mergeCell ref="K34:K35"/>
    <mergeCell ref="L34:L35"/>
    <mergeCell ref="M34:M35"/>
    <mergeCell ref="N34:N35"/>
    <mergeCell ref="O34:O35"/>
    <mergeCell ref="P34:P35"/>
    <mergeCell ref="O37:O38"/>
    <mergeCell ref="P37:P38"/>
    <mergeCell ref="D39:D40"/>
    <mergeCell ref="F37:F38"/>
    <mergeCell ref="F39:F40"/>
    <mergeCell ref="G39:G40"/>
    <mergeCell ref="H39:H40"/>
    <mergeCell ref="I39:I40"/>
    <mergeCell ref="D45:D46"/>
    <mergeCell ref="E45:E46"/>
    <mergeCell ref="F45:F46"/>
    <mergeCell ref="G45:G46"/>
    <mergeCell ref="H45:H46"/>
    <mergeCell ref="I45:I46"/>
    <mergeCell ref="D41:D42"/>
    <mergeCell ref="E41:E42"/>
    <mergeCell ref="F41:F42"/>
    <mergeCell ref="G41:G42"/>
    <mergeCell ref="H41:H42"/>
    <mergeCell ref="I41:I42"/>
    <mergeCell ref="G37:G38"/>
    <mergeCell ref="H37:H38"/>
    <mergeCell ref="I37:I38"/>
    <mergeCell ref="J37:J38"/>
    <mergeCell ref="K37:K38"/>
    <mergeCell ref="L37:L38"/>
    <mergeCell ref="M37:M38"/>
    <mergeCell ref="N37:N38"/>
    <mergeCell ref="D58:D59"/>
    <mergeCell ref="E58:E59"/>
    <mergeCell ref="J58:J59"/>
    <mergeCell ref="K58:K59"/>
    <mergeCell ref="L58:L59"/>
    <mergeCell ref="M58:M59"/>
    <mergeCell ref="N58:N59"/>
    <mergeCell ref="N41:N42"/>
    <mergeCell ref="I49:I50"/>
    <mergeCell ref="J49:J50"/>
    <mergeCell ref="K49:K50"/>
    <mergeCell ref="L49:L50"/>
    <mergeCell ref="K53:K54"/>
    <mergeCell ref="L53:L54"/>
    <mergeCell ref="M49:M50"/>
    <mergeCell ref="N49:N50"/>
    <mergeCell ref="D64:D65"/>
    <mergeCell ref="E64:E65"/>
    <mergeCell ref="D62:D63"/>
    <mergeCell ref="E62:E63"/>
    <mergeCell ref="D60:D61"/>
    <mergeCell ref="E60:E61"/>
    <mergeCell ref="C37:C56"/>
    <mergeCell ref="D37:D38"/>
    <mergeCell ref="E37:E38"/>
    <mergeCell ref="E39:E40"/>
    <mergeCell ref="K66:K67"/>
    <mergeCell ref="L66:L67"/>
    <mergeCell ref="M66:M67"/>
    <mergeCell ref="N66:N67"/>
    <mergeCell ref="O66:O67"/>
    <mergeCell ref="P66:P67"/>
    <mergeCell ref="F68:F69"/>
    <mergeCell ref="G68:G69"/>
    <mergeCell ref="H68:H69"/>
    <mergeCell ref="K68:K69"/>
    <mergeCell ref="L68:L69"/>
    <mergeCell ref="M68:M69"/>
    <mergeCell ref="N68:N69"/>
    <mergeCell ref="O68:O69"/>
    <mergeCell ref="P68:P69"/>
    <mergeCell ref="D66:D67"/>
    <mergeCell ref="E66:E67"/>
    <mergeCell ref="D68:D69"/>
    <mergeCell ref="E68:E69"/>
    <mergeCell ref="F66:F67"/>
    <mergeCell ref="G66:G67"/>
    <mergeCell ref="H66:H67"/>
    <mergeCell ref="I66:I67"/>
    <mergeCell ref="J66:J67"/>
    <mergeCell ref="I68:I69"/>
    <mergeCell ref="J68:J69"/>
    <mergeCell ref="D72:D73"/>
    <mergeCell ref="E72:E73"/>
    <mergeCell ref="F70:F71"/>
    <mergeCell ref="G70:G71"/>
    <mergeCell ref="H70:H71"/>
    <mergeCell ref="D70:D71"/>
    <mergeCell ref="E70:E71"/>
    <mergeCell ref="I70:I71"/>
    <mergeCell ref="J70:J71"/>
    <mergeCell ref="F72:F73"/>
    <mergeCell ref="G72:G73"/>
    <mergeCell ref="H72:H73"/>
    <mergeCell ref="I72:I73"/>
    <mergeCell ref="J72:J73"/>
    <mergeCell ref="E74:E75"/>
    <mergeCell ref="D76:D77"/>
    <mergeCell ref="E76:E77"/>
    <mergeCell ref="F76:F77"/>
    <mergeCell ref="G76:G77"/>
    <mergeCell ref="H76:H77"/>
    <mergeCell ref="I76:I77"/>
    <mergeCell ref="J76:J77"/>
    <mergeCell ref="K76:K77"/>
    <mergeCell ref="D74:D75"/>
    <mergeCell ref="F74:F75"/>
    <mergeCell ref="G74:G75"/>
    <mergeCell ref="H74:H75"/>
    <mergeCell ref="I74:I75"/>
    <mergeCell ref="J74:J75"/>
    <mergeCell ref="K74:K75"/>
    <mergeCell ref="J80:J81"/>
    <mergeCell ref="K80:K81"/>
    <mergeCell ref="L80:L81"/>
    <mergeCell ref="M80:M81"/>
    <mergeCell ref="N80:N81"/>
    <mergeCell ref="O80:O81"/>
    <mergeCell ref="P80:P81"/>
    <mergeCell ref="D78:D79"/>
    <mergeCell ref="E78:E79"/>
    <mergeCell ref="G80:G81"/>
    <mergeCell ref="H80:H81"/>
    <mergeCell ref="I80:I81"/>
    <mergeCell ref="J94:J95"/>
    <mergeCell ref="K94:K95"/>
    <mergeCell ref="D86:D87"/>
    <mergeCell ref="E86:E87"/>
    <mergeCell ref="D82:D83"/>
    <mergeCell ref="E82:E83"/>
    <mergeCell ref="D84:D85"/>
    <mergeCell ref="E84:E85"/>
    <mergeCell ref="F82:F83"/>
    <mergeCell ref="G82:G83"/>
    <mergeCell ref="H82:H83"/>
    <mergeCell ref="I82:I83"/>
    <mergeCell ref="J82:J83"/>
    <mergeCell ref="K82:K83"/>
    <mergeCell ref="O58:O59"/>
    <mergeCell ref="P58:P59"/>
    <mergeCell ref="F60:F61"/>
    <mergeCell ref="G60:G61"/>
    <mergeCell ref="D88:D89"/>
    <mergeCell ref="E88:E89"/>
    <mergeCell ref="D90:D91"/>
    <mergeCell ref="E90:E91"/>
    <mergeCell ref="C58:C95"/>
    <mergeCell ref="F58:F59"/>
    <mergeCell ref="G58:G59"/>
    <mergeCell ref="H58:H59"/>
    <mergeCell ref="I58:I59"/>
    <mergeCell ref="D94:D95"/>
    <mergeCell ref="E94:E95"/>
    <mergeCell ref="D92:D93"/>
    <mergeCell ref="E92:E93"/>
    <mergeCell ref="F94:F95"/>
    <mergeCell ref="G94:G95"/>
    <mergeCell ref="H94:H95"/>
    <mergeCell ref="I94:I95"/>
    <mergeCell ref="D80:D81"/>
    <mergeCell ref="E80:E81"/>
    <mergeCell ref="F80:F81"/>
    <mergeCell ref="N18:N19"/>
    <mergeCell ref="O18:O19"/>
    <mergeCell ref="P18:P19"/>
    <mergeCell ref="O22:O23"/>
    <mergeCell ref="P22:P23"/>
    <mergeCell ref="F24:F25"/>
    <mergeCell ref="G24:G25"/>
    <mergeCell ref="H24:H25"/>
    <mergeCell ref="I24:I25"/>
    <mergeCell ref="J24:J25"/>
    <mergeCell ref="K24:K25"/>
    <mergeCell ref="L24:L25"/>
    <mergeCell ref="M24:M25"/>
    <mergeCell ref="N24:N25"/>
    <mergeCell ref="O24:O25"/>
    <mergeCell ref="P24:P25"/>
    <mergeCell ref="F22:F23"/>
    <mergeCell ref="G22:G23"/>
    <mergeCell ref="H22:H23"/>
    <mergeCell ref="I22:I23"/>
    <mergeCell ref="J22:J23"/>
    <mergeCell ref="K22:K23"/>
    <mergeCell ref="L22:L23"/>
    <mergeCell ref="M22:M23"/>
    <mergeCell ref="N22:N23"/>
    <mergeCell ref="O26:O27"/>
    <mergeCell ref="P26:P27"/>
    <mergeCell ref="F28:F29"/>
    <mergeCell ref="G28:G29"/>
    <mergeCell ref="H28:H29"/>
    <mergeCell ref="I28:I29"/>
    <mergeCell ref="J28:J29"/>
    <mergeCell ref="K28:K29"/>
    <mergeCell ref="L28:L29"/>
    <mergeCell ref="M28:M29"/>
    <mergeCell ref="N28:N29"/>
    <mergeCell ref="O28:O29"/>
    <mergeCell ref="P28:P29"/>
    <mergeCell ref="F26:F27"/>
    <mergeCell ref="G26:G27"/>
    <mergeCell ref="H26:H27"/>
    <mergeCell ref="I26:I27"/>
    <mergeCell ref="J26:J27"/>
    <mergeCell ref="K26:K27"/>
    <mergeCell ref="L26:L27"/>
    <mergeCell ref="M26:M27"/>
    <mergeCell ref="N26:N27"/>
    <mergeCell ref="O30:O31"/>
    <mergeCell ref="P30:P31"/>
    <mergeCell ref="F32:F33"/>
    <mergeCell ref="G32:G33"/>
    <mergeCell ref="H32:H33"/>
    <mergeCell ref="I32:I33"/>
    <mergeCell ref="J32:J33"/>
    <mergeCell ref="K32:K33"/>
    <mergeCell ref="L32:L33"/>
    <mergeCell ref="M32:M33"/>
    <mergeCell ref="N32:N33"/>
    <mergeCell ref="O32:O33"/>
    <mergeCell ref="P32:P33"/>
    <mergeCell ref="F30:F31"/>
    <mergeCell ref="G30:G31"/>
    <mergeCell ref="H30:H31"/>
    <mergeCell ref="I30:I31"/>
    <mergeCell ref="J30:J31"/>
    <mergeCell ref="K30:K31"/>
    <mergeCell ref="L30:L31"/>
    <mergeCell ref="M30:M31"/>
    <mergeCell ref="N30:N31"/>
    <mergeCell ref="O41:O42"/>
    <mergeCell ref="P41:P42"/>
    <mergeCell ref="D43:D44"/>
    <mergeCell ref="E43:E44"/>
    <mergeCell ref="F43:F44"/>
    <mergeCell ref="G43:G44"/>
    <mergeCell ref="H43:H44"/>
    <mergeCell ref="I43:I44"/>
    <mergeCell ref="J43:J44"/>
    <mergeCell ref="K43:K44"/>
    <mergeCell ref="L43:L44"/>
    <mergeCell ref="M43:M44"/>
    <mergeCell ref="N43:N44"/>
    <mergeCell ref="O43:O44"/>
    <mergeCell ref="P43:P44"/>
    <mergeCell ref="J41:J42"/>
    <mergeCell ref="K41:K42"/>
    <mergeCell ref="L41:L42"/>
    <mergeCell ref="M41:M42"/>
    <mergeCell ref="O45:O46"/>
    <mergeCell ref="P45:P46"/>
    <mergeCell ref="D47:D48"/>
    <mergeCell ref="E47:E48"/>
    <mergeCell ref="F47:F48"/>
    <mergeCell ref="G47:G48"/>
    <mergeCell ref="H47:H48"/>
    <mergeCell ref="I47:I48"/>
    <mergeCell ref="J47:J48"/>
    <mergeCell ref="K47:K48"/>
    <mergeCell ref="L47:L48"/>
    <mergeCell ref="M47:M48"/>
    <mergeCell ref="N47:N48"/>
    <mergeCell ref="O47:O48"/>
    <mergeCell ref="P47:P48"/>
    <mergeCell ref="J45:J46"/>
    <mergeCell ref="K45:K46"/>
    <mergeCell ref="L45:L46"/>
    <mergeCell ref="M45:M46"/>
    <mergeCell ref="N45:N46"/>
    <mergeCell ref="O49:O50"/>
    <mergeCell ref="P49:P50"/>
    <mergeCell ref="D51:D52"/>
    <mergeCell ref="E51:E52"/>
    <mergeCell ref="F51:F52"/>
    <mergeCell ref="G51:G52"/>
    <mergeCell ref="H51:H52"/>
    <mergeCell ref="I51:I52"/>
    <mergeCell ref="J51:J52"/>
    <mergeCell ref="K51:K52"/>
    <mergeCell ref="L51:L52"/>
    <mergeCell ref="M51:M52"/>
    <mergeCell ref="N51:N52"/>
    <mergeCell ref="O51:O52"/>
    <mergeCell ref="P51:P52"/>
    <mergeCell ref="D49:D50"/>
    <mergeCell ref="E49:E50"/>
    <mergeCell ref="F49:F50"/>
    <mergeCell ref="G49:G50"/>
    <mergeCell ref="H49:H50"/>
    <mergeCell ref="M53:M54"/>
    <mergeCell ref="N53:N54"/>
    <mergeCell ref="O53:O54"/>
    <mergeCell ref="P53:P54"/>
    <mergeCell ref="D55:D56"/>
    <mergeCell ref="E55:E56"/>
    <mergeCell ref="F55:F56"/>
    <mergeCell ref="G55:G56"/>
    <mergeCell ref="H55:H56"/>
    <mergeCell ref="I55:I56"/>
    <mergeCell ref="J55:J56"/>
    <mergeCell ref="K55:K56"/>
    <mergeCell ref="L55:L56"/>
    <mergeCell ref="M55:M56"/>
    <mergeCell ref="N55:N56"/>
    <mergeCell ref="O55:O56"/>
    <mergeCell ref="P55:P56"/>
    <mergeCell ref="D53:D54"/>
    <mergeCell ref="E53:E54"/>
    <mergeCell ref="F53:F54"/>
    <mergeCell ref="G53:G54"/>
    <mergeCell ref="H53:H54"/>
    <mergeCell ref="I53:I54"/>
    <mergeCell ref="J53:J54"/>
    <mergeCell ref="H60:H61"/>
    <mergeCell ref="I60:I61"/>
    <mergeCell ref="J60:J61"/>
    <mergeCell ref="K60:K61"/>
    <mergeCell ref="L60:L61"/>
    <mergeCell ref="M60:M61"/>
    <mergeCell ref="N60:N61"/>
    <mergeCell ref="O60:O61"/>
    <mergeCell ref="P60:P61"/>
    <mergeCell ref="O62:O63"/>
    <mergeCell ref="P62:P63"/>
    <mergeCell ref="F64:F65"/>
    <mergeCell ref="G64:G65"/>
    <mergeCell ref="H64:H65"/>
    <mergeCell ref="I64:I65"/>
    <mergeCell ref="J64:J65"/>
    <mergeCell ref="K64:K65"/>
    <mergeCell ref="L64:L65"/>
    <mergeCell ref="M64:M65"/>
    <mergeCell ref="N64:N65"/>
    <mergeCell ref="O64:O65"/>
    <mergeCell ref="P64:P65"/>
    <mergeCell ref="F62:F63"/>
    <mergeCell ref="G62:G63"/>
    <mergeCell ref="H62:H63"/>
    <mergeCell ref="I62:I63"/>
    <mergeCell ref="J62:J63"/>
    <mergeCell ref="K62:K63"/>
    <mergeCell ref="L62:L63"/>
    <mergeCell ref="M62:M63"/>
    <mergeCell ref="N62:N63"/>
    <mergeCell ref="O72:O73"/>
    <mergeCell ref="P72:P73"/>
    <mergeCell ref="K70:K71"/>
    <mergeCell ref="L70:L71"/>
    <mergeCell ref="M70:M71"/>
    <mergeCell ref="N70:N71"/>
    <mergeCell ref="O70:O71"/>
    <mergeCell ref="P70:P71"/>
    <mergeCell ref="L74:L75"/>
    <mergeCell ref="M74:M75"/>
    <mergeCell ref="N74:N75"/>
    <mergeCell ref="O74:O75"/>
    <mergeCell ref="P74:P75"/>
    <mergeCell ref="K72:K73"/>
    <mergeCell ref="L72:L73"/>
    <mergeCell ref="M72:M73"/>
    <mergeCell ref="N72:N73"/>
    <mergeCell ref="P76:P77"/>
    <mergeCell ref="F78:F79"/>
    <mergeCell ref="G78:G79"/>
    <mergeCell ref="H78:H79"/>
    <mergeCell ref="I78:I79"/>
    <mergeCell ref="J78:J79"/>
    <mergeCell ref="K78:K79"/>
    <mergeCell ref="L78:L79"/>
    <mergeCell ref="M78:M79"/>
    <mergeCell ref="N78:N79"/>
    <mergeCell ref="O78:O79"/>
    <mergeCell ref="P78:P79"/>
    <mergeCell ref="L76:L77"/>
    <mergeCell ref="M76:M77"/>
    <mergeCell ref="N76:N77"/>
    <mergeCell ref="O76:O77"/>
    <mergeCell ref="N86:N87"/>
    <mergeCell ref="N82:N83"/>
    <mergeCell ref="O82:O83"/>
    <mergeCell ref="P82:P83"/>
    <mergeCell ref="F84:F85"/>
    <mergeCell ref="G84:G85"/>
    <mergeCell ref="H84:H85"/>
    <mergeCell ref="I84:I85"/>
    <mergeCell ref="J84:J85"/>
    <mergeCell ref="K84:K85"/>
    <mergeCell ref="L84:L85"/>
    <mergeCell ref="M84:M85"/>
    <mergeCell ref="N84:N85"/>
    <mergeCell ref="O84:O85"/>
    <mergeCell ref="P84:P85"/>
    <mergeCell ref="L82:L83"/>
    <mergeCell ref="M82:M83"/>
    <mergeCell ref="L90:L91"/>
    <mergeCell ref="M90:M91"/>
    <mergeCell ref="N90:N91"/>
    <mergeCell ref="O86:O87"/>
    <mergeCell ref="P86:P87"/>
    <mergeCell ref="F88:F89"/>
    <mergeCell ref="G88:G89"/>
    <mergeCell ref="H88:H89"/>
    <mergeCell ref="I88:I89"/>
    <mergeCell ref="J88:J89"/>
    <mergeCell ref="K88:K89"/>
    <mergeCell ref="L88:L89"/>
    <mergeCell ref="M88:M89"/>
    <mergeCell ref="N88:N89"/>
    <mergeCell ref="O88:O89"/>
    <mergeCell ref="P88:P89"/>
    <mergeCell ref="F86:F87"/>
    <mergeCell ref="G86:G87"/>
    <mergeCell ref="H86:H87"/>
    <mergeCell ref="I86:I87"/>
    <mergeCell ref="J86:J87"/>
    <mergeCell ref="K86:K87"/>
    <mergeCell ref="L86:L87"/>
    <mergeCell ref="M86:M87"/>
    <mergeCell ref="L94:L95"/>
    <mergeCell ref="M94:M95"/>
    <mergeCell ref="N94:N95"/>
    <mergeCell ref="O94:O95"/>
    <mergeCell ref="P94:P95"/>
    <mergeCell ref="O90:O91"/>
    <mergeCell ref="P90:P91"/>
    <mergeCell ref="F92:F93"/>
    <mergeCell ref="G92:G93"/>
    <mergeCell ref="H92:H93"/>
    <mergeCell ref="I92:I93"/>
    <mergeCell ref="J92:J93"/>
    <mergeCell ref="K92:K93"/>
    <mergeCell ref="L92:L93"/>
    <mergeCell ref="M92:M93"/>
    <mergeCell ref="N92:N93"/>
    <mergeCell ref="O92:O93"/>
    <mergeCell ref="P92:P93"/>
    <mergeCell ref="F90:F91"/>
    <mergeCell ref="G90:G91"/>
    <mergeCell ref="H90:H91"/>
    <mergeCell ref="I90:I91"/>
    <mergeCell ref="J90:J91"/>
    <mergeCell ref="K90:K91"/>
  </mergeCells>
  <phoneticPr fontId="6" type="noConversion"/>
  <pageMargins left="0.7" right="0.7" top="0.75" bottom="0.75" header="0.3" footer="0.3"/>
  <pageSetup paperSize="8" scale="39" orientation="landscape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79998168889431442"/>
    <pageSetUpPr fitToPage="1"/>
  </sheetPr>
  <dimension ref="A1:T58"/>
  <sheetViews>
    <sheetView showGridLines="0" view="pageBreakPreview" zoomScale="55" zoomScaleNormal="100" zoomScaleSheetLayoutView="55" workbookViewId="0">
      <selection activeCell="B2" sqref="B2"/>
    </sheetView>
  </sheetViews>
  <sheetFormatPr defaultColWidth="9" defaultRowHeight="15"/>
  <cols>
    <col min="1" max="1" width="2.25" style="1006" customWidth="1"/>
    <col min="2" max="2" width="15.625" style="1006" customWidth="1"/>
    <col min="3" max="3" width="12.875" style="1006" customWidth="1"/>
    <col min="4" max="4" width="10.625" style="1006" bestFit="1" customWidth="1"/>
    <col min="5" max="5" width="14.75" style="1006" customWidth="1"/>
    <col min="6" max="6" width="12.75" style="1006" customWidth="1"/>
    <col min="7" max="7" width="15.25" style="1006" customWidth="1"/>
    <col min="8" max="8" width="12.75" style="1006" customWidth="1"/>
    <col min="9" max="9" width="14.625" style="1006" customWidth="1"/>
    <col min="10" max="10" width="11.875" style="1006" customWidth="1"/>
    <col min="11" max="11" width="37.75" style="1006" customWidth="1"/>
    <col min="12" max="12" width="2.5" style="1006" customWidth="1"/>
    <col min="13" max="13" width="6.375" style="1006" customWidth="1"/>
    <col min="14" max="14" width="11.875" style="1006" bestFit="1" customWidth="1"/>
    <col min="15" max="15" width="11.5" style="1006" bestFit="1" customWidth="1"/>
    <col min="16" max="16" width="10.875" style="1006" bestFit="1" customWidth="1"/>
    <col min="17" max="17" width="11.875" style="1006" bestFit="1" customWidth="1"/>
    <col min="18" max="18" width="8.375" style="1006" bestFit="1" customWidth="1"/>
    <col min="19" max="19" width="9.875" style="1006" customWidth="1"/>
    <col min="20" max="16384" width="9" style="1006"/>
  </cols>
  <sheetData>
    <row r="1" spans="1:18" ht="16.899999999999999" customHeight="1"/>
    <row r="2" spans="1:18" ht="26.45" customHeight="1">
      <c r="A2" s="1007"/>
      <c r="B2" s="2113" t="s">
        <v>1993</v>
      </c>
      <c r="C2" s="2113"/>
      <c r="D2" s="2113"/>
      <c r="E2" s="2113"/>
      <c r="F2" s="1008"/>
      <c r="G2" s="1008"/>
      <c r="H2" s="1008"/>
      <c r="I2" s="1008"/>
      <c r="J2" s="1008"/>
      <c r="K2" s="1009"/>
      <c r="L2" s="1007"/>
    </row>
    <row r="3" spans="1:18" ht="17.100000000000001" customHeight="1">
      <c r="B3" s="1010"/>
      <c r="C3" s="1010"/>
      <c r="D3" s="1010"/>
      <c r="E3" s="1011"/>
      <c r="F3" s="1011"/>
      <c r="G3" s="1011"/>
      <c r="H3" s="1011"/>
      <c r="I3" s="1011"/>
      <c r="J3" s="1011"/>
      <c r="K3" s="1012"/>
    </row>
    <row r="4" spans="1:18" ht="17.100000000000001" customHeight="1">
      <c r="B4" s="2648" t="s">
        <v>613</v>
      </c>
      <c r="C4" s="2648"/>
      <c r="D4" s="2648"/>
      <c r="E4" s="1011"/>
      <c r="F4" s="1011"/>
      <c r="G4" s="1011"/>
      <c r="H4" s="1011"/>
      <c r="I4" s="1011"/>
      <c r="J4" s="1011"/>
      <c r="K4" s="1012" t="s">
        <v>2081</v>
      </c>
    </row>
    <row r="5" spans="1:18" ht="15" customHeight="1">
      <c r="B5" s="2650" t="s">
        <v>614</v>
      </c>
      <c r="C5" s="2650" t="s">
        <v>181</v>
      </c>
      <c r="D5" s="2654" t="s">
        <v>170</v>
      </c>
      <c r="E5" s="2650" t="s">
        <v>168</v>
      </c>
      <c r="F5" s="2650" t="s">
        <v>150</v>
      </c>
      <c r="G5" s="2650" t="s">
        <v>151</v>
      </c>
      <c r="H5" s="2655" t="s">
        <v>175</v>
      </c>
      <c r="I5" s="2655"/>
      <c r="J5" s="2655" t="s">
        <v>176</v>
      </c>
      <c r="K5" s="2655"/>
    </row>
    <row r="6" spans="1:18" ht="17.25" customHeight="1">
      <c r="B6" s="2650"/>
      <c r="C6" s="2650"/>
      <c r="D6" s="2654"/>
      <c r="E6" s="2650"/>
      <c r="F6" s="2650"/>
      <c r="G6" s="2650"/>
      <c r="H6" s="1013" t="s">
        <v>178</v>
      </c>
      <c r="I6" s="1013" t="s">
        <v>179</v>
      </c>
      <c r="J6" s="2655"/>
      <c r="K6" s="2655"/>
    </row>
    <row r="7" spans="1:18" ht="15.2" customHeight="1">
      <c r="B7" s="2656" t="s">
        <v>616</v>
      </c>
      <c r="C7" s="2657" t="s">
        <v>617</v>
      </c>
      <c r="D7" s="1014"/>
      <c r="E7" s="1015">
        <v>600000</v>
      </c>
      <c r="F7" s="1015">
        <v>60000</v>
      </c>
      <c r="G7" s="1015">
        <v>35000</v>
      </c>
      <c r="H7" s="2658"/>
      <c r="I7" s="2658"/>
      <c r="J7" s="2659" t="s">
        <v>618</v>
      </c>
      <c r="K7" s="2659"/>
    </row>
    <row r="8" spans="1:18" ht="17.25" customHeight="1">
      <c r="B8" s="2656"/>
      <c r="C8" s="2657"/>
      <c r="D8" s="1014"/>
      <c r="E8" s="1015"/>
      <c r="F8" s="1015"/>
      <c r="G8" s="1015"/>
      <c r="H8" s="2658"/>
      <c r="I8" s="2658"/>
      <c r="J8" s="2659"/>
      <c r="K8" s="2659"/>
    </row>
    <row r="9" spans="1:18" ht="17.100000000000001" customHeight="1">
      <c r="B9" s="1016" t="s">
        <v>37</v>
      </c>
      <c r="C9" s="1017"/>
      <c r="D9" s="1018">
        <f>SUM(D6:D8)</f>
        <v>0</v>
      </c>
      <c r="E9" s="1019">
        <f>SUM(E6:E8)</f>
        <v>600000</v>
      </c>
      <c r="F9" s="1019">
        <f>SUM(F6:F8)</f>
        <v>60000</v>
      </c>
      <c r="G9" s="1019">
        <f>SUM(G6:G8)</f>
        <v>35000</v>
      </c>
      <c r="H9" s="1020"/>
      <c r="I9" s="1020"/>
      <c r="J9" s="2652"/>
      <c r="K9" s="2652"/>
    </row>
    <row r="10" spans="1:18">
      <c r="B10" s="1011"/>
      <c r="C10" s="1011"/>
      <c r="D10" s="1011"/>
      <c r="E10" s="1011"/>
      <c r="F10" s="1011"/>
      <c r="G10" s="1011"/>
      <c r="H10" s="1011"/>
      <c r="I10" s="1011"/>
      <c r="J10" s="1011"/>
      <c r="K10" s="1011"/>
    </row>
    <row r="11" spans="1:18" ht="17.100000000000001" customHeight="1">
      <c r="B11" s="2648" t="s">
        <v>619</v>
      </c>
      <c r="C11" s="2648"/>
      <c r="D11" s="2648"/>
      <c r="E11" s="1011"/>
      <c r="F11" s="1011"/>
      <c r="G11" s="1011"/>
      <c r="H11" s="1011"/>
      <c r="I11" s="1011"/>
      <c r="J11" s="1011"/>
      <c r="K11" s="1012"/>
    </row>
    <row r="12" spans="1:18" ht="16.5" hidden="1" customHeight="1">
      <c r="B12" s="1021" t="s">
        <v>483</v>
      </c>
      <c r="M12" s="1022"/>
      <c r="N12" s="1022"/>
      <c r="O12" s="1022"/>
      <c r="P12" s="1022"/>
      <c r="Q12" s="1022"/>
      <c r="R12" s="1022"/>
    </row>
    <row r="13" spans="1:18" ht="15" customHeight="1">
      <c r="B13" s="2650" t="s">
        <v>614</v>
      </c>
      <c r="C13" s="2650" t="s">
        <v>181</v>
      </c>
      <c r="D13" s="2654" t="s">
        <v>170</v>
      </c>
      <c r="E13" s="2650" t="s">
        <v>168</v>
      </c>
      <c r="F13" s="2650" t="s">
        <v>150</v>
      </c>
      <c r="G13" s="2650" t="s">
        <v>151</v>
      </c>
      <c r="H13" s="2655" t="s">
        <v>175</v>
      </c>
      <c r="I13" s="2655"/>
      <c r="J13" s="2655" t="s">
        <v>176</v>
      </c>
      <c r="K13" s="2655"/>
      <c r="M13" s="1022"/>
      <c r="N13" s="1022"/>
      <c r="O13" s="1022"/>
      <c r="P13" s="1022"/>
      <c r="Q13" s="1022"/>
      <c r="R13" s="1022"/>
    </row>
    <row r="14" spans="1:18">
      <c r="B14" s="2650"/>
      <c r="C14" s="2650"/>
      <c r="D14" s="2654"/>
      <c r="E14" s="2650"/>
      <c r="F14" s="2650"/>
      <c r="G14" s="2650"/>
      <c r="H14" s="1013" t="s">
        <v>178</v>
      </c>
      <c r="I14" s="1013" t="s">
        <v>179</v>
      </c>
      <c r="J14" s="2655"/>
      <c r="K14" s="2655"/>
      <c r="M14" s="1022"/>
      <c r="N14" s="1022"/>
      <c r="O14" s="1022"/>
      <c r="P14" s="1022"/>
      <c r="Q14" s="1022"/>
      <c r="R14" s="1022"/>
    </row>
    <row r="15" spans="1:18" ht="31.5" customHeight="1">
      <c r="B15" s="1023" t="s">
        <v>2097</v>
      </c>
      <c r="C15" s="1024" t="s">
        <v>2098</v>
      </c>
      <c r="D15" s="1025">
        <v>97.83</v>
      </c>
      <c r="E15" s="1026">
        <v>58697000</v>
      </c>
      <c r="F15" s="1026">
        <v>5870000</v>
      </c>
      <c r="G15" s="1026">
        <v>3424000</v>
      </c>
      <c r="H15" s="1027">
        <v>45505</v>
      </c>
      <c r="I15" s="1027">
        <v>45869</v>
      </c>
      <c r="J15" s="2651" t="s">
        <v>2099</v>
      </c>
      <c r="K15" s="2651"/>
      <c r="M15" s="1022"/>
      <c r="N15" s="1022"/>
      <c r="O15" s="1022"/>
      <c r="P15" s="1022"/>
      <c r="Q15" s="1022"/>
      <c r="R15" s="1022"/>
    </row>
    <row r="16" spans="1:18" ht="17.100000000000001" customHeight="1">
      <c r="B16" s="1016" t="s">
        <v>37</v>
      </c>
      <c r="C16" s="1017"/>
      <c r="D16" s="1018">
        <f>SUM(D15:D15)</f>
        <v>97.83</v>
      </c>
      <c r="E16" s="1019">
        <f>SUM(E15:E15)</f>
        <v>58697000</v>
      </c>
      <c r="F16" s="1019">
        <f>SUM(F15:F15)</f>
        <v>5870000</v>
      </c>
      <c r="G16" s="1019">
        <f>SUM(G15:G15)</f>
        <v>3424000</v>
      </c>
      <c r="H16" s="1020"/>
      <c r="I16" s="1020"/>
      <c r="J16" s="2652"/>
      <c r="K16" s="2652"/>
      <c r="M16" s="1022"/>
      <c r="N16" s="1022"/>
      <c r="O16" s="1022"/>
      <c r="P16" s="1022"/>
      <c r="Q16" s="1022"/>
      <c r="R16" s="1022"/>
    </row>
    <row r="17" spans="2:20" ht="16.5" customHeight="1">
      <c r="B17" s="1021"/>
      <c r="M17" s="1022"/>
      <c r="N17" s="1022"/>
      <c r="O17" s="1022"/>
      <c r="P17" s="1022"/>
      <c r="Q17" s="1022"/>
      <c r="R17" s="1022"/>
    </row>
    <row r="18" spans="2:20" ht="16.5" customHeight="1">
      <c r="B18" s="2648" t="s">
        <v>620</v>
      </c>
      <c r="C18" s="2648"/>
      <c r="D18" s="1028"/>
      <c r="E18" s="1028"/>
      <c r="F18" s="1028"/>
      <c r="G18" s="1028"/>
      <c r="H18" s="1028"/>
      <c r="I18" s="1028"/>
      <c r="J18" s="1028"/>
      <c r="K18" s="1012" t="s">
        <v>2082</v>
      </c>
      <c r="L18" s="1029"/>
      <c r="M18" s="1030"/>
      <c r="N18" s="1030"/>
      <c r="O18" s="1022"/>
      <c r="P18" s="1022"/>
      <c r="Q18" s="1022"/>
      <c r="R18" s="1022"/>
    </row>
    <row r="19" spans="2:20" ht="16.5" hidden="1" customHeight="1">
      <c r="B19" s="1021" t="s">
        <v>483</v>
      </c>
      <c r="L19" s="1031"/>
      <c r="M19" s="1030"/>
      <c r="N19" s="1030"/>
      <c r="O19" s="1022"/>
      <c r="P19" s="1022"/>
      <c r="Q19" s="1022"/>
      <c r="R19" s="1022"/>
    </row>
    <row r="20" spans="2:20" ht="18" customHeight="1">
      <c r="B20" s="2649" t="s">
        <v>614</v>
      </c>
      <c r="C20" s="2649" t="s">
        <v>181</v>
      </c>
      <c r="D20" s="2649" t="s">
        <v>621</v>
      </c>
      <c r="E20" s="2649" t="s">
        <v>622</v>
      </c>
      <c r="F20" s="2649"/>
      <c r="G20" s="2649" t="s">
        <v>623</v>
      </c>
      <c r="H20" s="2649"/>
      <c r="I20" s="2650" t="s">
        <v>187</v>
      </c>
      <c r="J20" s="2650"/>
      <c r="K20" s="2649" t="s">
        <v>176</v>
      </c>
      <c r="L20" s="1031"/>
      <c r="M20" s="1030"/>
      <c r="N20" s="1030"/>
      <c r="O20" s="1022"/>
      <c r="P20" s="1022"/>
      <c r="Q20" s="1022"/>
      <c r="R20" s="1022"/>
    </row>
    <row r="21" spans="2:20" ht="16.5" customHeight="1">
      <c r="B21" s="2653"/>
      <c r="C21" s="2653"/>
      <c r="D21" s="2653"/>
      <c r="E21" s="1069" t="s">
        <v>2080</v>
      </c>
      <c r="F21" s="1069" t="s">
        <v>2083</v>
      </c>
      <c r="G21" s="1069" t="s">
        <v>2080</v>
      </c>
      <c r="H21" s="1069" t="s">
        <v>2083</v>
      </c>
      <c r="I21" s="1069" t="s">
        <v>2083</v>
      </c>
      <c r="J21" s="1069" t="s">
        <v>2084</v>
      </c>
      <c r="K21" s="2653"/>
      <c r="L21" s="1031"/>
      <c r="M21" s="1030"/>
      <c r="N21" s="1030"/>
      <c r="O21" s="1022"/>
      <c r="P21" s="1022"/>
      <c r="Q21" s="1022"/>
      <c r="R21" s="1022"/>
    </row>
    <row r="22" spans="2:20" ht="18" customHeight="1">
      <c r="B22" s="1070" t="s">
        <v>2100</v>
      </c>
      <c r="C22" s="1071">
        <v>3</v>
      </c>
      <c r="D22" s="1071" t="s">
        <v>2085</v>
      </c>
      <c r="E22" s="1072">
        <f>40833700+23789900+1000000</f>
        <v>65623600</v>
      </c>
      <c r="F22" s="1073">
        <v>255978</v>
      </c>
      <c r="G22" s="1072">
        <f>42058700+24503600+1425000</f>
        <v>67987300</v>
      </c>
      <c r="H22" s="1072">
        <v>277987.00261260074</v>
      </c>
      <c r="I22" s="1074">
        <f>H22-F22</f>
        <v>22009.002612600743</v>
      </c>
      <c r="J22" s="1075">
        <f>I22/F22</f>
        <v>8.5980055366479707E-2</v>
      </c>
      <c r="K22" s="1863" t="s">
        <v>2177</v>
      </c>
      <c r="L22" s="1039"/>
      <c r="M22" s="1030"/>
      <c r="N22" s="1040"/>
      <c r="O22" s="982"/>
      <c r="P22" s="982"/>
      <c r="Q22" s="982"/>
      <c r="R22" s="982"/>
      <c r="S22" s="982"/>
      <c r="T22" s="982"/>
    </row>
    <row r="23" spans="2:20" ht="18" customHeight="1">
      <c r="B23" s="1071"/>
      <c r="C23" s="1071"/>
      <c r="D23" s="1071"/>
      <c r="E23" s="1072"/>
      <c r="F23" s="1073"/>
      <c r="G23" s="1072"/>
      <c r="H23" s="1072"/>
      <c r="I23" s="1074">
        <f t="shared" ref="I23:I24" si="0">H23-F23</f>
        <v>0</v>
      </c>
      <c r="J23" s="1075" t="e">
        <f>I23/F23</f>
        <v>#DIV/0!</v>
      </c>
      <c r="K23" s="1864"/>
      <c r="L23" s="1039"/>
      <c r="M23" s="1030"/>
      <c r="N23" s="1040"/>
      <c r="O23" s="982"/>
      <c r="P23" s="982"/>
      <c r="Q23" s="982"/>
      <c r="R23" s="982"/>
      <c r="S23" s="982"/>
      <c r="T23" s="982"/>
    </row>
    <row r="24" spans="2:20" ht="18" customHeight="1">
      <c r="B24" s="1071"/>
      <c r="C24" s="1071"/>
      <c r="D24" s="1071"/>
      <c r="E24" s="1072"/>
      <c r="F24" s="1073"/>
      <c r="G24" s="1072"/>
      <c r="H24" s="1072"/>
      <c r="I24" s="1074">
        <f t="shared" si="0"/>
        <v>0</v>
      </c>
      <c r="J24" s="1075" t="e">
        <f>I24/F24</f>
        <v>#DIV/0!</v>
      </c>
      <c r="K24" s="1864"/>
      <c r="L24" s="1039"/>
      <c r="M24" s="1030"/>
      <c r="N24" s="1040"/>
      <c r="O24" s="982"/>
      <c r="P24" s="982"/>
      <c r="Q24" s="982"/>
      <c r="R24" s="982"/>
      <c r="S24" s="982"/>
      <c r="T24" s="982"/>
    </row>
    <row r="25" spans="2:20" ht="17.25" customHeight="1">
      <c r="B25" s="1041"/>
      <c r="C25" s="1028"/>
      <c r="D25" s="1028"/>
      <c r="E25" s="1028"/>
      <c r="F25" s="1028"/>
      <c r="G25" s="1028"/>
      <c r="H25" s="1028"/>
      <c r="I25" s="1028"/>
      <c r="J25" s="1028"/>
      <c r="K25" s="1028"/>
      <c r="L25" s="1031"/>
      <c r="M25" s="1030"/>
      <c r="N25" s="1040"/>
      <c r="O25" s="982"/>
      <c r="P25" s="982"/>
      <c r="Q25" s="982"/>
      <c r="R25" s="982"/>
      <c r="S25" s="982"/>
      <c r="T25" s="982"/>
    </row>
    <row r="26" spans="2:20" ht="18" customHeight="1">
      <c r="B26" s="2648" t="s">
        <v>627</v>
      </c>
      <c r="C26" s="2648"/>
      <c r="D26" s="2648"/>
      <c r="E26" s="2648"/>
      <c r="F26" s="1028"/>
      <c r="G26" s="1028"/>
      <c r="H26" s="1028"/>
      <c r="I26" s="1028"/>
      <c r="J26" s="1028"/>
      <c r="K26" s="1012" t="s">
        <v>173</v>
      </c>
      <c r="L26" s="1031"/>
      <c r="M26" s="1030"/>
      <c r="N26" s="1040"/>
      <c r="O26" s="1040"/>
      <c r="P26" s="982"/>
      <c r="Q26" s="982"/>
      <c r="R26" s="982"/>
      <c r="S26" s="982"/>
      <c r="T26" s="982"/>
    </row>
    <row r="27" spans="2:20" ht="18" customHeight="1">
      <c r="B27" s="2649" t="s">
        <v>614</v>
      </c>
      <c r="C27" s="2649" t="s">
        <v>181</v>
      </c>
      <c r="D27" s="2649" t="s">
        <v>621</v>
      </c>
      <c r="E27" s="2649" t="s">
        <v>622</v>
      </c>
      <c r="F27" s="2649"/>
      <c r="G27" s="2649" t="s">
        <v>623</v>
      </c>
      <c r="H27" s="2649"/>
      <c r="I27" s="2650" t="s">
        <v>187</v>
      </c>
      <c r="J27" s="2650"/>
      <c r="K27" s="2649" t="s">
        <v>176</v>
      </c>
      <c r="L27" s="1031"/>
      <c r="M27" s="1030"/>
      <c r="N27" s="1040"/>
      <c r="O27" s="1040"/>
      <c r="P27" s="982"/>
      <c r="Q27" s="982"/>
      <c r="R27" s="982"/>
      <c r="S27" s="982"/>
      <c r="T27" s="982"/>
    </row>
    <row r="28" spans="2:20">
      <c r="B28" s="2649"/>
      <c r="C28" s="2649"/>
      <c r="D28" s="2649"/>
      <c r="E28" s="1032" t="s">
        <v>624</v>
      </c>
      <c r="F28" s="1032" t="s">
        <v>625</v>
      </c>
      <c r="G28" s="1032" t="s">
        <v>624</v>
      </c>
      <c r="H28" s="1032" t="s">
        <v>625</v>
      </c>
      <c r="I28" s="1033" t="s">
        <v>624</v>
      </c>
      <c r="J28" s="1033" t="s">
        <v>626</v>
      </c>
      <c r="K28" s="2649"/>
      <c r="L28" s="1031"/>
      <c r="M28" s="1030"/>
      <c r="N28" s="1040"/>
      <c r="O28" s="1040"/>
      <c r="P28" s="982"/>
      <c r="Q28" s="982"/>
      <c r="R28" s="982"/>
      <c r="S28" s="982"/>
      <c r="T28" s="982"/>
    </row>
    <row r="29" spans="2:20" ht="18" customHeight="1">
      <c r="B29" s="2627" t="s">
        <v>2101</v>
      </c>
      <c r="C29" s="2628" t="s">
        <v>2102</v>
      </c>
      <c r="D29" s="1034" t="s">
        <v>2103</v>
      </c>
      <c r="E29" s="1036">
        <v>65817000</v>
      </c>
      <c r="F29" s="1042">
        <v>560001.70169318467</v>
      </c>
      <c r="G29" s="1036">
        <v>65817000</v>
      </c>
      <c r="H29" s="1042">
        <v>560001.70169318467</v>
      </c>
      <c r="I29" s="1037">
        <f t="shared" ref="I29:I49" si="1">G29-E29</f>
        <v>0</v>
      </c>
      <c r="J29" s="1038">
        <f t="shared" ref="J29:J49" si="2">I29/E29</f>
        <v>0</v>
      </c>
      <c r="K29" s="2626" t="s">
        <v>1992</v>
      </c>
      <c r="L29" s="1039"/>
      <c r="M29" s="1030"/>
      <c r="N29" s="1040"/>
      <c r="O29" s="1040"/>
      <c r="P29" s="982"/>
      <c r="Q29" s="982"/>
      <c r="R29" s="982"/>
      <c r="S29" s="982"/>
      <c r="T29" s="982"/>
    </row>
    <row r="30" spans="2:20" ht="18" customHeight="1">
      <c r="B30" s="2627"/>
      <c r="C30" s="2628"/>
      <c r="D30" s="1034" t="s">
        <v>2104</v>
      </c>
      <c r="E30" s="1036">
        <v>6581700</v>
      </c>
      <c r="F30" s="1042">
        <v>56000.170169318473</v>
      </c>
      <c r="G30" s="1036">
        <v>6779200</v>
      </c>
      <c r="H30" s="1042">
        <v>57680.592189228279</v>
      </c>
      <c r="I30" s="1037">
        <f t="shared" si="1"/>
        <v>197500</v>
      </c>
      <c r="J30" s="1038">
        <f t="shared" si="2"/>
        <v>3.0007444885060092E-2</v>
      </c>
      <c r="K30" s="2626"/>
      <c r="L30" s="1039"/>
      <c r="M30" s="1030"/>
      <c r="N30" s="1040"/>
      <c r="O30" s="1040"/>
      <c r="P30" s="982"/>
      <c r="Q30" s="982"/>
      <c r="R30" s="982"/>
      <c r="S30" s="982"/>
      <c r="T30" s="982"/>
    </row>
    <row r="31" spans="2:20" ht="18" customHeight="1">
      <c r="B31" s="2627"/>
      <c r="C31" s="2628"/>
      <c r="D31" s="1034" t="s">
        <v>2105</v>
      </c>
      <c r="E31" s="1036">
        <v>3760960</v>
      </c>
      <c r="F31" s="1042">
        <v>32000</v>
      </c>
      <c r="G31" s="1036">
        <v>3873800</v>
      </c>
      <c r="H31" s="1042">
        <v>32960.09529481834</v>
      </c>
      <c r="I31" s="1037">
        <f t="shared" si="1"/>
        <v>112840</v>
      </c>
      <c r="J31" s="1038">
        <f t="shared" si="2"/>
        <v>3.0002977963073257E-2</v>
      </c>
      <c r="K31" s="2626"/>
      <c r="L31" s="1039"/>
      <c r="M31" s="1030"/>
      <c r="N31" s="1040"/>
      <c r="O31" s="1040"/>
      <c r="P31" s="982"/>
      <c r="Q31" s="982"/>
      <c r="R31" s="982"/>
      <c r="S31" s="982"/>
      <c r="T31" s="982"/>
    </row>
    <row r="32" spans="2:20" ht="18" customHeight="1">
      <c r="B32" s="2627" t="s">
        <v>2106</v>
      </c>
      <c r="C32" s="2628" t="s">
        <v>2107</v>
      </c>
      <c r="D32" s="1034" t="s">
        <v>2103</v>
      </c>
      <c r="E32" s="1036">
        <v>72234000</v>
      </c>
      <c r="F32" s="1042">
        <v>1650170.8219442524</v>
      </c>
      <c r="G32" s="1036">
        <v>72234000</v>
      </c>
      <c r="H32" s="1042">
        <v>1650170.8219442524</v>
      </c>
      <c r="I32" s="1037">
        <f t="shared" si="1"/>
        <v>0</v>
      </c>
      <c r="J32" s="1038">
        <f t="shared" si="2"/>
        <v>0</v>
      </c>
      <c r="K32" s="2626" t="s">
        <v>2108</v>
      </c>
      <c r="L32" s="1039"/>
      <c r="M32" s="1030"/>
      <c r="N32" s="1040"/>
      <c r="O32" s="1040"/>
      <c r="P32" s="982"/>
      <c r="Q32" s="982"/>
      <c r="R32" s="982"/>
      <c r="S32" s="982"/>
      <c r="T32" s="982"/>
    </row>
    <row r="33" spans="2:20" ht="18" customHeight="1">
      <c r="B33" s="2627"/>
      <c r="C33" s="2628"/>
      <c r="D33" s="1034" t="s">
        <v>2104</v>
      </c>
      <c r="E33" s="1036">
        <v>5342800</v>
      </c>
      <c r="F33" s="1042">
        <v>122055.16332314078</v>
      </c>
      <c r="G33" s="1036">
        <v>5449700</v>
      </c>
      <c r="H33" s="1042">
        <v>124497.27176052262</v>
      </c>
      <c r="I33" s="1037">
        <f t="shared" si="1"/>
        <v>106900</v>
      </c>
      <c r="J33" s="1038">
        <f t="shared" si="2"/>
        <v>2.00082353821966E-2</v>
      </c>
      <c r="K33" s="2626"/>
      <c r="L33" s="1039"/>
      <c r="M33" s="1030"/>
      <c r="N33" s="1040"/>
      <c r="O33" s="1040"/>
      <c r="P33" s="982"/>
      <c r="Q33" s="982"/>
      <c r="R33" s="982"/>
      <c r="S33" s="982"/>
      <c r="T33" s="982"/>
    </row>
    <row r="34" spans="2:20" ht="18" customHeight="1">
      <c r="B34" s="2627"/>
      <c r="C34" s="2628"/>
      <c r="D34" s="1034" t="s">
        <v>2105</v>
      </c>
      <c r="E34" s="1036">
        <v>1674500</v>
      </c>
      <c r="F34" s="1042">
        <v>38253.606907351808</v>
      </c>
      <c r="G34" s="1036">
        <v>1724800</v>
      </c>
      <c r="H34" s="1042">
        <v>39402.700026157298</v>
      </c>
      <c r="I34" s="1037">
        <f t="shared" si="1"/>
        <v>50300</v>
      </c>
      <c r="J34" s="1038">
        <f t="shared" si="2"/>
        <v>3.0038817557479846E-2</v>
      </c>
      <c r="K34" s="2626"/>
      <c r="L34" s="1039"/>
      <c r="M34" s="1030"/>
      <c r="N34" s="1040"/>
      <c r="O34" s="1040"/>
      <c r="P34" s="982"/>
      <c r="Q34" s="982"/>
      <c r="R34" s="982"/>
      <c r="S34" s="982"/>
      <c r="T34" s="982"/>
    </row>
    <row r="35" spans="2:20" ht="18" customHeight="1">
      <c r="B35" s="2627"/>
      <c r="C35" s="2630"/>
      <c r="D35" s="1034"/>
      <c r="E35" s="1042"/>
      <c r="F35" s="1042"/>
      <c r="G35" s="1042"/>
      <c r="H35" s="1042"/>
      <c r="I35" s="1037">
        <f t="shared" si="1"/>
        <v>0</v>
      </c>
      <c r="J35" s="1038" t="e">
        <f t="shared" si="2"/>
        <v>#DIV/0!</v>
      </c>
      <c r="K35" s="2626"/>
      <c r="L35" s="1039"/>
      <c r="M35" s="1030"/>
      <c r="N35" s="1040"/>
      <c r="O35" s="1040"/>
      <c r="P35" s="982"/>
      <c r="Q35" s="982"/>
      <c r="R35" s="982"/>
      <c r="S35" s="982"/>
      <c r="T35" s="982"/>
    </row>
    <row r="36" spans="2:20" ht="18" customHeight="1">
      <c r="B36" s="2627"/>
      <c r="C36" s="2630"/>
      <c r="D36" s="1034"/>
      <c r="E36" s="1036"/>
      <c r="F36" s="1042"/>
      <c r="G36" s="1042"/>
      <c r="H36" s="1042"/>
      <c r="I36" s="1037">
        <f t="shared" si="1"/>
        <v>0</v>
      </c>
      <c r="J36" s="1038" t="e">
        <f t="shared" si="2"/>
        <v>#DIV/0!</v>
      </c>
      <c r="K36" s="2626"/>
      <c r="L36" s="1039"/>
      <c r="M36" s="1030"/>
      <c r="N36" s="1040"/>
      <c r="O36" s="1040"/>
      <c r="P36" s="982"/>
      <c r="Q36" s="982"/>
      <c r="R36" s="982"/>
      <c r="S36" s="982"/>
      <c r="T36" s="982"/>
    </row>
    <row r="37" spans="2:20" ht="18" customHeight="1">
      <c r="B37" s="2627"/>
      <c r="C37" s="2630"/>
      <c r="D37" s="1034"/>
      <c r="E37" s="1036"/>
      <c r="F37" s="1042"/>
      <c r="G37" s="1042"/>
      <c r="H37" s="1042"/>
      <c r="I37" s="1037">
        <f t="shared" si="1"/>
        <v>0</v>
      </c>
      <c r="J37" s="1038" t="e">
        <f t="shared" si="2"/>
        <v>#DIV/0!</v>
      </c>
      <c r="K37" s="2626"/>
      <c r="L37" s="1039"/>
      <c r="M37" s="1030"/>
      <c r="N37" s="1040"/>
      <c r="O37" s="1040"/>
      <c r="P37" s="982"/>
      <c r="Q37" s="982"/>
      <c r="R37" s="982"/>
      <c r="S37" s="982"/>
      <c r="T37" s="982"/>
    </row>
    <row r="38" spans="2:20" ht="19.5" customHeight="1">
      <c r="B38" s="2627"/>
      <c r="C38" s="2629"/>
      <c r="D38" s="1034"/>
      <c r="E38" s="1036"/>
      <c r="F38" s="1035"/>
      <c r="G38" s="1035"/>
      <c r="H38" s="1035"/>
      <c r="I38" s="1037">
        <f t="shared" si="1"/>
        <v>0</v>
      </c>
      <c r="J38" s="1038" t="e">
        <f t="shared" si="2"/>
        <v>#DIV/0!</v>
      </c>
      <c r="K38" s="2626"/>
      <c r="L38" s="1039"/>
      <c r="M38" s="1030"/>
      <c r="N38" s="1040"/>
      <c r="O38" s="1040"/>
      <c r="P38" s="982"/>
      <c r="Q38" s="982"/>
      <c r="R38" s="982"/>
      <c r="S38" s="982"/>
      <c r="T38" s="982"/>
    </row>
    <row r="39" spans="2:20" ht="19.5" customHeight="1">
      <c r="B39" s="2627"/>
      <c r="C39" s="2628"/>
      <c r="D39" s="1034"/>
      <c r="E39" s="1036"/>
      <c r="F39" s="1035"/>
      <c r="G39" s="1042"/>
      <c r="H39" s="1035"/>
      <c r="I39" s="1037">
        <f t="shared" si="1"/>
        <v>0</v>
      </c>
      <c r="J39" s="1038" t="e">
        <f t="shared" si="2"/>
        <v>#DIV/0!</v>
      </c>
      <c r="K39" s="2626"/>
      <c r="L39" s="1039"/>
      <c r="M39" s="1030"/>
      <c r="N39" s="1040"/>
      <c r="O39" s="1040"/>
      <c r="P39" s="982"/>
      <c r="Q39" s="982"/>
      <c r="R39" s="982"/>
      <c r="S39" s="982"/>
      <c r="T39" s="982"/>
    </row>
    <row r="40" spans="2:20" ht="19.5" customHeight="1">
      <c r="B40" s="2627"/>
      <c r="C40" s="2628"/>
      <c r="D40" s="1034"/>
      <c r="E40" s="1036"/>
      <c r="F40" s="1035"/>
      <c r="G40" s="1043"/>
      <c r="H40" s="1035"/>
      <c r="I40" s="1037">
        <f t="shared" si="1"/>
        <v>0</v>
      </c>
      <c r="J40" s="1038" t="e">
        <f t="shared" si="2"/>
        <v>#DIV/0!</v>
      </c>
      <c r="K40" s="2626"/>
      <c r="L40" s="1039"/>
      <c r="M40" s="1030"/>
      <c r="N40" s="1040"/>
      <c r="O40" s="1040"/>
      <c r="P40" s="982"/>
      <c r="Q40" s="982"/>
      <c r="R40" s="982"/>
      <c r="S40" s="982"/>
      <c r="T40" s="982"/>
    </row>
    <row r="41" spans="2:20" ht="19.5" customHeight="1">
      <c r="B41" s="2642"/>
      <c r="C41" s="2629"/>
      <c r="D41" s="1034"/>
      <c r="E41" s="1036"/>
      <c r="F41" s="1035"/>
      <c r="G41" s="1036"/>
      <c r="H41" s="1035"/>
      <c r="I41" s="1037">
        <f t="shared" si="1"/>
        <v>0</v>
      </c>
      <c r="J41" s="1038" t="e">
        <f t="shared" si="2"/>
        <v>#DIV/0!</v>
      </c>
      <c r="K41" s="2626"/>
      <c r="L41" s="1039"/>
      <c r="M41" s="1030"/>
      <c r="N41" s="1040"/>
      <c r="O41" s="1040"/>
      <c r="P41" s="982"/>
      <c r="Q41" s="982"/>
      <c r="R41" s="982"/>
      <c r="S41" s="982"/>
      <c r="T41" s="982"/>
    </row>
    <row r="42" spans="2:20" ht="19.5" customHeight="1">
      <c r="B42" s="2644"/>
      <c r="C42" s="2628"/>
      <c r="D42" s="1034"/>
      <c r="E42" s="1036"/>
      <c r="F42" s="1035"/>
      <c r="G42" s="1036"/>
      <c r="H42" s="1035"/>
      <c r="I42" s="1037">
        <f t="shared" si="1"/>
        <v>0</v>
      </c>
      <c r="J42" s="1038" t="e">
        <f t="shared" si="2"/>
        <v>#DIV/0!</v>
      </c>
      <c r="K42" s="2626"/>
      <c r="L42" s="1039"/>
      <c r="M42" s="1030"/>
      <c r="N42" s="1040"/>
      <c r="O42" s="1040"/>
      <c r="P42" s="982"/>
      <c r="Q42" s="982"/>
      <c r="R42" s="982"/>
      <c r="S42" s="982"/>
      <c r="T42" s="982"/>
    </row>
    <row r="43" spans="2:20" ht="19.5" customHeight="1">
      <c r="B43" s="2644"/>
      <c r="C43" s="2628"/>
      <c r="D43" s="1034"/>
      <c r="E43" s="1036"/>
      <c r="F43" s="1035"/>
      <c r="G43" s="1036"/>
      <c r="H43" s="1035"/>
      <c r="I43" s="1037">
        <f t="shared" si="1"/>
        <v>0</v>
      </c>
      <c r="J43" s="1038" t="e">
        <f t="shared" si="2"/>
        <v>#DIV/0!</v>
      </c>
      <c r="K43" s="2626"/>
      <c r="L43" s="1039"/>
      <c r="M43" s="1030"/>
      <c r="N43" s="1040"/>
      <c r="O43" s="1040"/>
      <c r="P43" s="982"/>
      <c r="Q43" s="982"/>
      <c r="R43" s="982"/>
      <c r="S43" s="982"/>
      <c r="T43" s="982"/>
    </row>
    <row r="44" spans="2:20" ht="19.5" customHeight="1">
      <c r="B44" s="2642"/>
      <c r="C44" s="2643"/>
      <c r="D44" s="1034"/>
      <c r="E44" s="1035"/>
      <c r="F44" s="1042"/>
      <c r="G44" s="1035"/>
      <c r="H44" s="1042"/>
      <c r="I44" s="1037">
        <f t="shared" si="1"/>
        <v>0</v>
      </c>
      <c r="J44" s="1038" t="e">
        <f t="shared" si="2"/>
        <v>#DIV/0!</v>
      </c>
      <c r="K44" s="2626"/>
      <c r="L44" s="1039"/>
      <c r="M44" s="1030"/>
      <c r="N44" s="1040"/>
      <c r="O44" s="1040"/>
      <c r="P44" s="982"/>
      <c r="Q44" s="982"/>
      <c r="R44" s="982"/>
      <c r="S44" s="982"/>
      <c r="T44" s="982"/>
    </row>
    <row r="45" spans="2:20" ht="19.5" customHeight="1">
      <c r="B45" s="2642"/>
      <c r="C45" s="2644"/>
      <c r="D45" s="1034"/>
      <c r="E45" s="1035"/>
      <c r="F45" s="1042"/>
      <c r="G45" s="1044"/>
      <c r="H45" s="1042"/>
      <c r="I45" s="1037">
        <f t="shared" si="1"/>
        <v>0</v>
      </c>
      <c r="J45" s="1038" t="e">
        <f t="shared" si="2"/>
        <v>#DIV/0!</v>
      </c>
      <c r="K45" s="2626"/>
      <c r="L45" s="1039"/>
      <c r="M45" s="1030"/>
      <c r="N45" s="1040"/>
      <c r="O45" s="1040"/>
      <c r="P45" s="982"/>
      <c r="Q45" s="982"/>
      <c r="R45" s="982"/>
      <c r="S45" s="982"/>
      <c r="T45" s="982"/>
    </row>
    <row r="46" spans="2:20" ht="19.5" customHeight="1">
      <c r="B46" s="2642"/>
      <c r="C46" s="2644"/>
      <c r="D46" s="1034"/>
      <c r="E46" s="1035"/>
      <c r="F46" s="1042"/>
      <c r="G46" s="1044"/>
      <c r="H46" s="1042"/>
      <c r="I46" s="1037">
        <f t="shared" si="1"/>
        <v>0</v>
      </c>
      <c r="J46" s="1038" t="e">
        <f t="shared" si="2"/>
        <v>#DIV/0!</v>
      </c>
      <c r="K46" s="2626"/>
      <c r="L46" s="1039"/>
      <c r="M46" s="1030"/>
      <c r="N46" s="1040"/>
      <c r="O46" s="1040"/>
      <c r="P46" s="982"/>
      <c r="Q46" s="982"/>
      <c r="R46" s="982"/>
      <c r="S46" s="982"/>
      <c r="T46" s="982"/>
    </row>
    <row r="47" spans="2:20" ht="19.5" customHeight="1">
      <c r="B47" s="2642"/>
      <c r="C47" s="2643"/>
      <c r="D47" s="1034"/>
      <c r="E47" s="1035"/>
      <c r="F47" s="1042"/>
      <c r="G47" s="1035"/>
      <c r="H47" s="1042"/>
      <c r="I47" s="1037">
        <f t="shared" si="1"/>
        <v>0</v>
      </c>
      <c r="J47" s="1038" t="e">
        <f t="shared" si="2"/>
        <v>#DIV/0!</v>
      </c>
      <c r="K47" s="2626"/>
      <c r="L47" s="1039"/>
      <c r="M47" s="1030"/>
      <c r="N47" s="1040"/>
      <c r="O47" s="1040"/>
      <c r="P47" s="982"/>
      <c r="Q47" s="982"/>
      <c r="R47" s="982"/>
      <c r="S47" s="982"/>
      <c r="T47" s="982"/>
    </row>
    <row r="48" spans="2:20" ht="19.5" customHeight="1">
      <c r="B48" s="2642"/>
      <c r="C48" s="2644"/>
      <c r="D48" s="1034"/>
      <c r="E48" s="1035"/>
      <c r="F48" s="1042"/>
      <c r="G48" s="1044"/>
      <c r="H48" s="1042"/>
      <c r="I48" s="1037">
        <f t="shared" si="1"/>
        <v>0</v>
      </c>
      <c r="J48" s="1038" t="e">
        <f t="shared" si="2"/>
        <v>#DIV/0!</v>
      </c>
      <c r="K48" s="2626"/>
      <c r="L48" s="1039"/>
      <c r="M48" s="1030"/>
      <c r="N48" s="1040"/>
      <c r="O48" s="1040"/>
      <c r="P48" s="982"/>
      <c r="Q48" s="982"/>
      <c r="R48" s="982"/>
      <c r="S48" s="982"/>
      <c r="T48" s="982"/>
    </row>
    <row r="49" spans="2:20" ht="19.5" customHeight="1">
      <c r="B49" s="2642"/>
      <c r="C49" s="2644"/>
      <c r="D49" s="1034"/>
      <c r="E49" s="1035"/>
      <c r="F49" s="1042"/>
      <c r="G49" s="1044"/>
      <c r="H49" s="1042"/>
      <c r="I49" s="1037">
        <f t="shared" si="1"/>
        <v>0</v>
      </c>
      <c r="J49" s="1038" t="e">
        <f t="shared" si="2"/>
        <v>#DIV/0!</v>
      </c>
      <c r="K49" s="2626"/>
      <c r="L49" s="1039"/>
      <c r="M49" s="1030"/>
      <c r="N49" s="1040"/>
      <c r="O49" s="1040"/>
      <c r="P49" s="982"/>
      <c r="Q49" s="982"/>
      <c r="R49" s="982"/>
      <c r="S49" s="982"/>
      <c r="T49" s="982"/>
    </row>
    <row r="50" spans="2:20" ht="19.5" customHeight="1">
      <c r="B50" s="1045"/>
      <c r="C50" s="1045"/>
      <c r="D50" s="1045"/>
      <c r="E50" s="1045"/>
      <c r="F50" s="1045"/>
      <c r="G50" s="1045"/>
      <c r="H50" s="1045"/>
      <c r="I50" s="1045"/>
      <c r="J50" s="1045"/>
      <c r="K50" s="1045"/>
      <c r="L50" s="1031"/>
      <c r="M50" s="1030"/>
      <c r="N50" s="1040"/>
      <c r="O50" s="1040"/>
      <c r="P50" s="982"/>
      <c r="Q50" s="982"/>
      <c r="R50" s="982"/>
      <c r="S50" s="982"/>
      <c r="T50" s="982"/>
    </row>
    <row r="51" spans="2:20" ht="18" customHeight="1">
      <c r="B51" s="2645" t="s">
        <v>628</v>
      </c>
      <c r="C51" s="2645"/>
      <c r="D51" s="2645"/>
      <c r="E51" s="1045"/>
      <c r="F51" s="1045"/>
      <c r="G51" s="1045"/>
      <c r="H51" s="1045"/>
      <c r="I51" s="1045"/>
      <c r="J51" s="1045"/>
      <c r="K51" s="1045"/>
    </row>
    <row r="52" spans="2:20" ht="18" hidden="1" customHeight="1">
      <c r="B52" s="2646" t="s">
        <v>614</v>
      </c>
      <c r="C52" s="2646" t="s">
        <v>181</v>
      </c>
      <c r="D52" s="2646" t="s">
        <v>629</v>
      </c>
      <c r="E52" s="2646" t="s">
        <v>168</v>
      </c>
      <c r="F52" s="2639" t="s">
        <v>630</v>
      </c>
      <c r="G52" s="2640"/>
      <c r="H52" s="2639" t="s">
        <v>631</v>
      </c>
      <c r="I52" s="2641"/>
      <c r="J52" s="2640"/>
      <c r="K52" s="2646" t="s">
        <v>176</v>
      </c>
    </row>
    <row r="53" spans="2:20" ht="18" hidden="1" customHeight="1">
      <c r="B53" s="2647"/>
      <c r="C53" s="2647"/>
      <c r="D53" s="2647"/>
      <c r="E53" s="2647"/>
      <c r="F53" s="1046" t="s">
        <v>150</v>
      </c>
      <c r="G53" s="1046" t="s">
        <v>151</v>
      </c>
      <c r="H53" s="2639" t="s">
        <v>632</v>
      </c>
      <c r="I53" s="2640"/>
      <c r="J53" s="1046" t="s">
        <v>633</v>
      </c>
      <c r="K53" s="2647"/>
    </row>
    <row r="54" spans="2:20" ht="18" hidden="1" customHeight="1">
      <c r="B54" s="1047" t="s">
        <v>634</v>
      </c>
      <c r="C54" s="1048" t="s">
        <v>635</v>
      </c>
      <c r="D54" s="1049">
        <v>83.33</v>
      </c>
      <c r="E54" s="1050">
        <v>45831500</v>
      </c>
      <c r="F54" s="1051">
        <v>4583100</v>
      </c>
      <c r="G54" s="1052">
        <v>2499900</v>
      </c>
      <c r="H54" s="2631">
        <v>45831500</v>
      </c>
      <c r="I54" s="2632"/>
      <c r="J54" s="1053">
        <v>45170</v>
      </c>
      <c r="K54" s="1053" t="s">
        <v>636</v>
      </c>
    </row>
    <row r="55" spans="2:20" ht="18" hidden="1" customHeight="1">
      <c r="B55" s="1054"/>
      <c r="C55" s="1055"/>
      <c r="D55" s="1056"/>
      <c r="E55" s="1057"/>
      <c r="F55" s="1058"/>
      <c r="G55" s="1059"/>
      <c r="H55" s="1060"/>
      <c r="I55" s="1061"/>
      <c r="J55" s="1062"/>
      <c r="K55" s="1063"/>
    </row>
    <row r="56" spans="2:20" ht="18" hidden="1" customHeight="1">
      <c r="B56" s="1054"/>
      <c r="C56" s="1064"/>
      <c r="D56" s="1056"/>
      <c r="E56" s="1057"/>
      <c r="F56" s="1058"/>
      <c r="G56" s="1059"/>
      <c r="H56" s="2633"/>
      <c r="I56" s="2634"/>
      <c r="J56" s="1062"/>
      <c r="K56" s="1062"/>
    </row>
    <row r="57" spans="2:20" ht="18" hidden="1" customHeight="1">
      <c r="B57" s="2635" t="s">
        <v>37</v>
      </c>
      <c r="C57" s="2636"/>
      <c r="D57" s="1065">
        <f>SUM(D54:D56)</f>
        <v>83.33</v>
      </c>
      <c r="E57" s="1066">
        <f>SUM(E54:E56)</f>
        <v>45831500</v>
      </c>
      <c r="F57" s="1066">
        <f>SUM(F54:F56)</f>
        <v>4583100</v>
      </c>
      <c r="G57" s="1066">
        <f>SUM(G54:G56)</f>
        <v>2499900</v>
      </c>
      <c r="H57" s="2637">
        <f>SUM(H54:H56)</f>
        <v>45831500</v>
      </c>
      <c r="I57" s="2638"/>
      <c r="J57" s="1067"/>
      <c r="K57" s="1068"/>
    </row>
    <row r="58" spans="2:20">
      <c r="B58" s="1021" t="s">
        <v>483</v>
      </c>
    </row>
  </sheetData>
  <mergeCells count="76">
    <mergeCell ref="B4:D4"/>
    <mergeCell ref="B5:B6"/>
    <mergeCell ref="C5:C6"/>
    <mergeCell ref="D5:D6"/>
    <mergeCell ref="F5:F6"/>
    <mergeCell ref="G5:G6"/>
    <mergeCell ref="H5:I5"/>
    <mergeCell ref="J5:K6"/>
    <mergeCell ref="B7:B8"/>
    <mergeCell ref="C7:C8"/>
    <mergeCell ref="H7:H8"/>
    <mergeCell ref="I7:I8"/>
    <mergeCell ref="J7:K8"/>
    <mergeCell ref="E5:E6"/>
    <mergeCell ref="J9:K9"/>
    <mergeCell ref="B11:D11"/>
    <mergeCell ref="B13:B14"/>
    <mergeCell ref="C13:C14"/>
    <mergeCell ref="D13:D14"/>
    <mergeCell ref="E13:E14"/>
    <mergeCell ref="F13:F14"/>
    <mergeCell ref="G13:G14"/>
    <mergeCell ref="H13:I13"/>
    <mergeCell ref="J13:K14"/>
    <mergeCell ref="B18:C18"/>
    <mergeCell ref="B20:B21"/>
    <mergeCell ref="C20:C21"/>
    <mergeCell ref="D20:D21"/>
    <mergeCell ref="E20:F20"/>
    <mergeCell ref="J15:K15"/>
    <mergeCell ref="J16:K16"/>
    <mergeCell ref="G20:H20"/>
    <mergeCell ref="I20:J20"/>
    <mergeCell ref="K20:K21"/>
    <mergeCell ref="K29:K31"/>
    <mergeCell ref="B29:B31"/>
    <mergeCell ref="C29:C31"/>
    <mergeCell ref="B26:E26"/>
    <mergeCell ref="B27:B28"/>
    <mergeCell ref="C27:C28"/>
    <mergeCell ref="D27:D28"/>
    <mergeCell ref="E27:F27"/>
    <mergeCell ref="G27:H27"/>
    <mergeCell ref="I27:J27"/>
    <mergeCell ref="K27:K28"/>
    <mergeCell ref="B41:B43"/>
    <mergeCell ref="C41:C43"/>
    <mergeCell ref="B44:B46"/>
    <mergeCell ref="C44:C46"/>
    <mergeCell ref="K41:K43"/>
    <mergeCell ref="K44:K46"/>
    <mergeCell ref="B47:B49"/>
    <mergeCell ref="C47:C49"/>
    <mergeCell ref="K47:K49"/>
    <mergeCell ref="B51:D51"/>
    <mergeCell ref="B52:B53"/>
    <mergeCell ref="C52:C53"/>
    <mergeCell ref="D52:D53"/>
    <mergeCell ref="E52:E53"/>
    <mergeCell ref="K52:K53"/>
    <mergeCell ref="H53:I53"/>
    <mergeCell ref="H54:I54"/>
    <mergeCell ref="H56:I56"/>
    <mergeCell ref="B57:C57"/>
    <mergeCell ref="H57:I57"/>
    <mergeCell ref="F52:G52"/>
    <mergeCell ref="H52:J52"/>
    <mergeCell ref="K32:K34"/>
    <mergeCell ref="K35:K37"/>
    <mergeCell ref="K38:K40"/>
    <mergeCell ref="B32:B34"/>
    <mergeCell ref="C32:C34"/>
    <mergeCell ref="B38:B40"/>
    <mergeCell ref="C38:C40"/>
    <mergeCell ref="B35:B37"/>
    <mergeCell ref="C35:C37"/>
  </mergeCells>
  <phoneticPr fontId="20" type="noConversion"/>
  <pageMargins left="0.7" right="0.7" top="0.75" bottom="0.75" header="0.3" footer="0.3"/>
  <pageSetup paperSize="9" scale="49" fitToHeight="0" orientation="portrait" r:id="rId1"/>
  <ignoredErrors>
    <ignoredError sqref="J23:J24" evalError="1"/>
  </ignoredError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8" tint="0.79998168889431442"/>
  </sheetPr>
  <dimension ref="A2:U319"/>
  <sheetViews>
    <sheetView showGridLines="0" view="pageBreakPreview" zoomScale="55" zoomScaleNormal="25" zoomScaleSheetLayoutView="55" workbookViewId="0">
      <selection activeCell="B2" sqref="B2"/>
    </sheetView>
  </sheetViews>
  <sheetFormatPr defaultRowHeight="15"/>
  <cols>
    <col min="1" max="1" width="2.25" style="1078" customWidth="1"/>
    <col min="2" max="2" width="25.25" style="1078" customWidth="1"/>
    <col min="3" max="3" width="14.75" style="1079" customWidth="1"/>
    <col min="4" max="4" width="15.875" style="1078" customWidth="1"/>
    <col min="5" max="5" width="19" style="1078" customWidth="1"/>
    <col min="6" max="6" width="20" style="1078" customWidth="1"/>
    <col min="7" max="7" width="17.75" style="1078" customWidth="1"/>
    <col min="8" max="8" width="15" style="1078" customWidth="1"/>
    <col min="9" max="9" width="16.25" style="1078" customWidth="1"/>
    <col min="10" max="10" width="22.375" style="1078" customWidth="1"/>
    <col min="11" max="11" width="19.25" style="1078" bestFit="1" customWidth="1"/>
    <col min="12" max="12" width="12" style="1078" bestFit="1" customWidth="1"/>
    <col min="13" max="13" width="11.875" style="1078" bestFit="1" customWidth="1"/>
    <col min="14" max="14" width="13.125" style="1078" customWidth="1"/>
    <col min="15" max="15" width="2.125" style="1078" customWidth="1"/>
    <col min="16" max="16" width="12.125" style="1078" customWidth="1"/>
    <col min="17" max="17" width="11.625" style="1078" bestFit="1" customWidth="1"/>
    <col min="18" max="18" width="9.875" style="1078" bestFit="1" customWidth="1"/>
    <col min="19" max="256" width="9" style="1078"/>
    <col min="257" max="257" width="10.875" style="1078" customWidth="1"/>
    <col min="258" max="258" width="28.125" style="1078" customWidth="1"/>
    <col min="259" max="259" width="14.5" style="1078" customWidth="1"/>
    <col min="260" max="260" width="9.625" style="1078" customWidth="1"/>
    <col min="261" max="261" width="17.25" style="1078" customWidth="1"/>
    <col min="262" max="262" width="14.75" style="1078" customWidth="1"/>
    <col min="263" max="264" width="14.75" style="1078" bestFit="1" customWidth="1"/>
    <col min="265" max="265" width="15" style="1078" customWidth="1"/>
    <col min="266" max="266" width="14.75" style="1078" bestFit="1" customWidth="1"/>
    <col min="267" max="267" width="13.125" style="1078" customWidth="1"/>
    <col min="268" max="268" width="12" style="1078" bestFit="1" customWidth="1"/>
    <col min="269" max="269" width="10.125" style="1078" bestFit="1" customWidth="1"/>
    <col min="270" max="270" width="13.125" style="1078" customWidth="1"/>
    <col min="271" max="512" width="9" style="1078"/>
    <col min="513" max="513" width="10.875" style="1078" customWidth="1"/>
    <col min="514" max="514" width="28.125" style="1078" customWidth="1"/>
    <col min="515" max="515" width="14.5" style="1078" customWidth="1"/>
    <col min="516" max="516" width="9.625" style="1078" customWidth="1"/>
    <col min="517" max="517" width="17.25" style="1078" customWidth="1"/>
    <col min="518" max="518" width="14.75" style="1078" customWidth="1"/>
    <col min="519" max="520" width="14.75" style="1078" bestFit="1" customWidth="1"/>
    <col min="521" max="521" width="15" style="1078" customWidth="1"/>
    <col min="522" max="522" width="14.75" style="1078" bestFit="1" customWidth="1"/>
    <col min="523" max="523" width="13.125" style="1078" customWidth="1"/>
    <col min="524" max="524" width="12" style="1078" bestFit="1" customWidth="1"/>
    <col min="525" max="525" width="10.125" style="1078" bestFit="1" customWidth="1"/>
    <col min="526" max="526" width="13.125" style="1078" customWidth="1"/>
    <col min="527" max="768" width="9" style="1078"/>
    <col min="769" max="769" width="10.875" style="1078" customWidth="1"/>
    <col min="770" max="770" width="28.125" style="1078" customWidth="1"/>
    <col min="771" max="771" width="14.5" style="1078" customWidth="1"/>
    <col min="772" max="772" width="9.625" style="1078" customWidth="1"/>
    <col min="773" max="773" width="17.25" style="1078" customWidth="1"/>
    <col min="774" max="774" width="14.75" style="1078" customWidth="1"/>
    <col min="775" max="776" width="14.75" style="1078" bestFit="1" customWidth="1"/>
    <col min="777" max="777" width="15" style="1078" customWidth="1"/>
    <col min="778" max="778" width="14.75" style="1078" bestFit="1" customWidth="1"/>
    <col min="779" max="779" width="13.125" style="1078" customWidth="1"/>
    <col min="780" max="780" width="12" style="1078" bestFit="1" customWidth="1"/>
    <col min="781" max="781" width="10.125" style="1078" bestFit="1" customWidth="1"/>
    <col min="782" max="782" width="13.125" style="1078" customWidth="1"/>
    <col min="783" max="1024" width="9" style="1078"/>
    <col min="1025" max="1025" width="10.875" style="1078" customWidth="1"/>
    <col min="1026" max="1026" width="28.125" style="1078" customWidth="1"/>
    <col min="1027" max="1027" width="14.5" style="1078" customWidth="1"/>
    <col min="1028" max="1028" width="9.625" style="1078" customWidth="1"/>
    <col min="1029" max="1029" width="17.25" style="1078" customWidth="1"/>
    <col min="1030" max="1030" width="14.75" style="1078" customWidth="1"/>
    <col min="1031" max="1032" width="14.75" style="1078" bestFit="1" customWidth="1"/>
    <col min="1033" max="1033" width="15" style="1078" customWidth="1"/>
    <col min="1034" max="1034" width="14.75" style="1078" bestFit="1" customWidth="1"/>
    <col min="1035" max="1035" width="13.125" style="1078" customWidth="1"/>
    <col min="1036" max="1036" width="12" style="1078" bestFit="1" customWidth="1"/>
    <col min="1037" max="1037" width="10.125" style="1078" bestFit="1" customWidth="1"/>
    <col min="1038" max="1038" width="13.125" style="1078" customWidth="1"/>
    <col min="1039" max="1280" width="9" style="1078"/>
    <col min="1281" max="1281" width="10.875" style="1078" customWidth="1"/>
    <col min="1282" max="1282" width="28.125" style="1078" customWidth="1"/>
    <col min="1283" max="1283" width="14.5" style="1078" customWidth="1"/>
    <col min="1284" max="1284" width="9.625" style="1078" customWidth="1"/>
    <col min="1285" max="1285" width="17.25" style="1078" customWidth="1"/>
    <col min="1286" max="1286" width="14.75" style="1078" customWidth="1"/>
    <col min="1287" max="1288" width="14.75" style="1078" bestFit="1" customWidth="1"/>
    <col min="1289" max="1289" width="15" style="1078" customWidth="1"/>
    <col min="1290" max="1290" width="14.75" style="1078" bestFit="1" customWidth="1"/>
    <col min="1291" max="1291" width="13.125" style="1078" customWidth="1"/>
    <col min="1292" max="1292" width="12" style="1078" bestFit="1" customWidth="1"/>
    <col min="1293" max="1293" width="10.125" style="1078" bestFit="1" customWidth="1"/>
    <col min="1294" max="1294" width="13.125" style="1078" customWidth="1"/>
    <col min="1295" max="1536" width="9" style="1078"/>
    <col min="1537" max="1537" width="10.875" style="1078" customWidth="1"/>
    <col min="1538" max="1538" width="28.125" style="1078" customWidth="1"/>
    <col min="1539" max="1539" width="14.5" style="1078" customWidth="1"/>
    <col min="1540" max="1540" width="9.625" style="1078" customWidth="1"/>
    <col min="1541" max="1541" width="17.25" style="1078" customWidth="1"/>
    <col min="1542" max="1542" width="14.75" style="1078" customWidth="1"/>
    <col min="1543" max="1544" width="14.75" style="1078" bestFit="1" customWidth="1"/>
    <col min="1545" max="1545" width="15" style="1078" customWidth="1"/>
    <col min="1546" max="1546" width="14.75" style="1078" bestFit="1" customWidth="1"/>
    <col min="1547" max="1547" width="13.125" style="1078" customWidth="1"/>
    <col min="1548" max="1548" width="12" style="1078" bestFit="1" customWidth="1"/>
    <col min="1549" max="1549" width="10.125" style="1078" bestFit="1" customWidth="1"/>
    <col min="1550" max="1550" width="13.125" style="1078" customWidth="1"/>
    <col min="1551" max="1792" width="9" style="1078"/>
    <col min="1793" max="1793" width="10.875" style="1078" customWidth="1"/>
    <col min="1794" max="1794" width="28.125" style="1078" customWidth="1"/>
    <col min="1795" max="1795" width="14.5" style="1078" customWidth="1"/>
    <col min="1796" max="1796" width="9.625" style="1078" customWidth="1"/>
    <col min="1797" max="1797" width="17.25" style="1078" customWidth="1"/>
    <col min="1798" max="1798" width="14.75" style="1078" customWidth="1"/>
    <col min="1799" max="1800" width="14.75" style="1078" bestFit="1" customWidth="1"/>
    <col min="1801" max="1801" width="15" style="1078" customWidth="1"/>
    <col min="1802" max="1802" width="14.75" style="1078" bestFit="1" customWidth="1"/>
    <col min="1803" max="1803" width="13.125" style="1078" customWidth="1"/>
    <col min="1804" max="1804" width="12" style="1078" bestFit="1" customWidth="1"/>
    <col min="1805" max="1805" width="10.125" style="1078" bestFit="1" customWidth="1"/>
    <col min="1806" max="1806" width="13.125" style="1078" customWidth="1"/>
    <col min="1807" max="2048" width="9" style="1078"/>
    <col min="2049" max="2049" width="10.875" style="1078" customWidth="1"/>
    <col min="2050" max="2050" width="28.125" style="1078" customWidth="1"/>
    <col min="2051" max="2051" width="14.5" style="1078" customWidth="1"/>
    <col min="2052" max="2052" width="9.625" style="1078" customWidth="1"/>
    <col min="2053" max="2053" width="17.25" style="1078" customWidth="1"/>
    <col min="2054" max="2054" width="14.75" style="1078" customWidth="1"/>
    <col min="2055" max="2056" width="14.75" style="1078" bestFit="1" customWidth="1"/>
    <col min="2057" max="2057" width="15" style="1078" customWidth="1"/>
    <col min="2058" max="2058" width="14.75" style="1078" bestFit="1" customWidth="1"/>
    <col min="2059" max="2059" width="13.125" style="1078" customWidth="1"/>
    <col min="2060" max="2060" width="12" style="1078" bestFit="1" customWidth="1"/>
    <col min="2061" max="2061" width="10.125" style="1078" bestFit="1" customWidth="1"/>
    <col min="2062" max="2062" width="13.125" style="1078" customWidth="1"/>
    <col min="2063" max="2304" width="9" style="1078"/>
    <col min="2305" max="2305" width="10.875" style="1078" customWidth="1"/>
    <col min="2306" max="2306" width="28.125" style="1078" customWidth="1"/>
    <col min="2307" max="2307" width="14.5" style="1078" customWidth="1"/>
    <col min="2308" max="2308" width="9.625" style="1078" customWidth="1"/>
    <col min="2309" max="2309" width="17.25" style="1078" customWidth="1"/>
    <col min="2310" max="2310" width="14.75" style="1078" customWidth="1"/>
    <col min="2311" max="2312" width="14.75" style="1078" bestFit="1" customWidth="1"/>
    <col min="2313" max="2313" width="15" style="1078" customWidth="1"/>
    <col min="2314" max="2314" width="14.75" style="1078" bestFit="1" customWidth="1"/>
    <col min="2315" max="2315" width="13.125" style="1078" customWidth="1"/>
    <col min="2316" max="2316" width="12" style="1078" bestFit="1" customWidth="1"/>
    <col min="2317" max="2317" width="10.125" style="1078" bestFit="1" customWidth="1"/>
    <col min="2318" max="2318" width="13.125" style="1078" customWidth="1"/>
    <col min="2319" max="2560" width="9" style="1078"/>
    <col min="2561" max="2561" width="10.875" style="1078" customWidth="1"/>
    <col min="2562" max="2562" width="28.125" style="1078" customWidth="1"/>
    <col min="2563" max="2563" width="14.5" style="1078" customWidth="1"/>
    <col min="2564" max="2564" width="9.625" style="1078" customWidth="1"/>
    <col min="2565" max="2565" width="17.25" style="1078" customWidth="1"/>
    <col min="2566" max="2566" width="14.75" style="1078" customWidth="1"/>
    <col min="2567" max="2568" width="14.75" style="1078" bestFit="1" customWidth="1"/>
    <col min="2569" max="2569" width="15" style="1078" customWidth="1"/>
    <col min="2570" max="2570" width="14.75" style="1078" bestFit="1" customWidth="1"/>
    <col min="2571" max="2571" width="13.125" style="1078" customWidth="1"/>
    <col min="2572" max="2572" width="12" style="1078" bestFit="1" customWidth="1"/>
    <col min="2573" max="2573" width="10.125" style="1078" bestFit="1" customWidth="1"/>
    <col min="2574" max="2574" width="13.125" style="1078" customWidth="1"/>
    <col min="2575" max="2816" width="9" style="1078"/>
    <col min="2817" max="2817" width="10.875" style="1078" customWidth="1"/>
    <col min="2818" max="2818" width="28.125" style="1078" customWidth="1"/>
    <col min="2819" max="2819" width="14.5" style="1078" customWidth="1"/>
    <col min="2820" max="2820" width="9.625" style="1078" customWidth="1"/>
    <col min="2821" max="2821" width="17.25" style="1078" customWidth="1"/>
    <col min="2822" max="2822" width="14.75" style="1078" customWidth="1"/>
    <col min="2823" max="2824" width="14.75" style="1078" bestFit="1" customWidth="1"/>
    <col min="2825" max="2825" width="15" style="1078" customWidth="1"/>
    <col min="2826" max="2826" width="14.75" style="1078" bestFit="1" customWidth="1"/>
    <col min="2827" max="2827" width="13.125" style="1078" customWidth="1"/>
    <col min="2828" max="2828" width="12" style="1078" bestFit="1" customWidth="1"/>
    <col min="2829" max="2829" width="10.125" style="1078" bestFit="1" customWidth="1"/>
    <col min="2830" max="2830" width="13.125" style="1078" customWidth="1"/>
    <col min="2831" max="3072" width="9" style="1078"/>
    <col min="3073" max="3073" width="10.875" style="1078" customWidth="1"/>
    <col min="3074" max="3074" width="28.125" style="1078" customWidth="1"/>
    <col min="3075" max="3075" width="14.5" style="1078" customWidth="1"/>
    <col min="3076" max="3076" width="9.625" style="1078" customWidth="1"/>
    <col min="3077" max="3077" width="17.25" style="1078" customWidth="1"/>
    <col min="3078" max="3078" width="14.75" style="1078" customWidth="1"/>
    <col min="3079" max="3080" width="14.75" style="1078" bestFit="1" customWidth="1"/>
    <col min="3081" max="3081" width="15" style="1078" customWidth="1"/>
    <col min="3082" max="3082" width="14.75" style="1078" bestFit="1" customWidth="1"/>
    <col min="3083" max="3083" width="13.125" style="1078" customWidth="1"/>
    <col min="3084" max="3084" width="12" style="1078" bestFit="1" customWidth="1"/>
    <col min="3085" max="3085" width="10.125" style="1078" bestFit="1" customWidth="1"/>
    <col min="3086" max="3086" width="13.125" style="1078" customWidth="1"/>
    <col min="3087" max="3328" width="9" style="1078"/>
    <col min="3329" max="3329" width="10.875" style="1078" customWidth="1"/>
    <col min="3330" max="3330" width="28.125" style="1078" customWidth="1"/>
    <col min="3331" max="3331" width="14.5" style="1078" customWidth="1"/>
    <col min="3332" max="3332" width="9.625" style="1078" customWidth="1"/>
    <col min="3333" max="3333" width="17.25" style="1078" customWidth="1"/>
    <col min="3334" max="3334" width="14.75" style="1078" customWidth="1"/>
    <col min="3335" max="3336" width="14.75" style="1078" bestFit="1" customWidth="1"/>
    <col min="3337" max="3337" width="15" style="1078" customWidth="1"/>
    <col min="3338" max="3338" width="14.75" style="1078" bestFit="1" customWidth="1"/>
    <col min="3339" max="3339" width="13.125" style="1078" customWidth="1"/>
    <col min="3340" max="3340" width="12" style="1078" bestFit="1" customWidth="1"/>
    <col min="3341" max="3341" width="10.125" style="1078" bestFit="1" customWidth="1"/>
    <col min="3342" max="3342" width="13.125" style="1078" customWidth="1"/>
    <col min="3343" max="3584" width="9" style="1078"/>
    <col min="3585" max="3585" width="10.875" style="1078" customWidth="1"/>
    <col min="3586" max="3586" width="28.125" style="1078" customWidth="1"/>
    <col min="3587" max="3587" width="14.5" style="1078" customWidth="1"/>
    <col min="3588" max="3588" width="9.625" style="1078" customWidth="1"/>
    <col min="3589" max="3589" width="17.25" style="1078" customWidth="1"/>
    <col min="3590" max="3590" width="14.75" style="1078" customWidth="1"/>
    <col min="3591" max="3592" width="14.75" style="1078" bestFit="1" customWidth="1"/>
    <col min="3593" max="3593" width="15" style="1078" customWidth="1"/>
    <col min="3594" max="3594" width="14.75" style="1078" bestFit="1" customWidth="1"/>
    <col min="3595" max="3595" width="13.125" style="1078" customWidth="1"/>
    <col min="3596" max="3596" width="12" style="1078" bestFit="1" customWidth="1"/>
    <col min="3597" max="3597" width="10.125" style="1078" bestFit="1" customWidth="1"/>
    <col min="3598" max="3598" width="13.125" style="1078" customWidth="1"/>
    <col min="3599" max="3840" width="9" style="1078"/>
    <col min="3841" max="3841" width="10.875" style="1078" customWidth="1"/>
    <col min="3842" max="3842" width="28.125" style="1078" customWidth="1"/>
    <col min="3843" max="3843" width="14.5" style="1078" customWidth="1"/>
    <col min="3844" max="3844" width="9.625" style="1078" customWidth="1"/>
    <col min="3845" max="3845" width="17.25" style="1078" customWidth="1"/>
    <col min="3846" max="3846" width="14.75" style="1078" customWidth="1"/>
    <col min="3847" max="3848" width="14.75" style="1078" bestFit="1" customWidth="1"/>
    <col min="3849" max="3849" width="15" style="1078" customWidth="1"/>
    <col min="3850" max="3850" width="14.75" style="1078" bestFit="1" customWidth="1"/>
    <col min="3851" max="3851" width="13.125" style="1078" customWidth="1"/>
    <col min="3852" max="3852" width="12" style="1078" bestFit="1" customWidth="1"/>
    <col min="3853" max="3853" width="10.125" style="1078" bestFit="1" customWidth="1"/>
    <col min="3854" max="3854" width="13.125" style="1078" customWidth="1"/>
    <col min="3855" max="4096" width="9" style="1078"/>
    <col min="4097" max="4097" width="10.875" style="1078" customWidth="1"/>
    <col min="4098" max="4098" width="28.125" style="1078" customWidth="1"/>
    <col min="4099" max="4099" width="14.5" style="1078" customWidth="1"/>
    <col min="4100" max="4100" width="9.625" style="1078" customWidth="1"/>
    <col min="4101" max="4101" width="17.25" style="1078" customWidth="1"/>
    <col min="4102" max="4102" width="14.75" style="1078" customWidth="1"/>
    <col min="4103" max="4104" width="14.75" style="1078" bestFit="1" customWidth="1"/>
    <col min="4105" max="4105" width="15" style="1078" customWidth="1"/>
    <col min="4106" max="4106" width="14.75" style="1078" bestFit="1" customWidth="1"/>
    <col min="4107" max="4107" width="13.125" style="1078" customWidth="1"/>
    <col min="4108" max="4108" width="12" style="1078" bestFit="1" customWidth="1"/>
    <col min="4109" max="4109" width="10.125" style="1078" bestFit="1" customWidth="1"/>
    <col min="4110" max="4110" width="13.125" style="1078" customWidth="1"/>
    <col min="4111" max="4352" width="9" style="1078"/>
    <col min="4353" max="4353" width="10.875" style="1078" customWidth="1"/>
    <col min="4354" max="4354" width="28.125" style="1078" customWidth="1"/>
    <col min="4355" max="4355" width="14.5" style="1078" customWidth="1"/>
    <col min="4356" max="4356" width="9.625" style="1078" customWidth="1"/>
    <col min="4357" max="4357" width="17.25" style="1078" customWidth="1"/>
    <col min="4358" max="4358" width="14.75" style="1078" customWidth="1"/>
    <col min="4359" max="4360" width="14.75" style="1078" bestFit="1" customWidth="1"/>
    <col min="4361" max="4361" width="15" style="1078" customWidth="1"/>
    <col min="4362" max="4362" width="14.75" style="1078" bestFit="1" customWidth="1"/>
    <col min="4363" max="4363" width="13.125" style="1078" customWidth="1"/>
    <col min="4364" max="4364" width="12" style="1078" bestFit="1" customWidth="1"/>
    <col min="4365" max="4365" width="10.125" style="1078" bestFit="1" customWidth="1"/>
    <col min="4366" max="4366" width="13.125" style="1078" customWidth="1"/>
    <col min="4367" max="4608" width="9" style="1078"/>
    <col min="4609" max="4609" width="10.875" style="1078" customWidth="1"/>
    <col min="4610" max="4610" width="28.125" style="1078" customWidth="1"/>
    <col min="4611" max="4611" width="14.5" style="1078" customWidth="1"/>
    <col min="4612" max="4612" width="9.625" style="1078" customWidth="1"/>
    <col min="4613" max="4613" width="17.25" style="1078" customWidth="1"/>
    <col min="4614" max="4614" width="14.75" style="1078" customWidth="1"/>
    <col min="4615" max="4616" width="14.75" style="1078" bestFit="1" customWidth="1"/>
    <col min="4617" max="4617" width="15" style="1078" customWidth="1"/>
    <col min="4618" max="4618" width="14.75" style="1078" bestFit="1" customWidth="1"/>
    <col min="4619" max="4619" width="13.125" style="1078" customWidth="1"/>
    <col min="4620" max="4620" width="12" style="1078" bestFit="1" customWidth="1"/>
    <col min="4621" max="4621" width="10.125" style="1078" bestFit="1" customWidth="1"/>
    <col min="4622" max="4622" width="13.125" style="1078" customWidth="1"/>
    <col min="4623" max="4864" width="9" style="1078"/>
    <col min="4865" max="4865" width="10.875" style="1078" customWidth="1"/>
    <col min="4866" max="4866" width="28.125" style="1078" customWidth="1"/>
    <col min="4867" max="4867" width="14.5" style="1078" customWidth="1"/>
    <col min="4868" max="4868" width="9.625" style="1078" customWidth="1"/>
    <col min="4869" max="4869" width="17.25" style="1078" customWidth="1"/>
    <col min="4870" max="4870" width="14.75" style="1078" customWidth="1"/>
    <col min="4871" max="4872" width="14.75" style="1078" bestFit="1" customWidth="1"/>
    <col min="4873" max="4873" width="15" style="1078" customWidth="1"/>
    <col min="4874" max="4874" width="14.75" style="1078" bestFit="1" customWidth="1"/>
    <col min="4875" max="4875" width="13.125" style="1078" customWidth="1"/>
    <col min="4876" max="4876" width="12" style="1078" bestFit="1" customWidth="1"/>
    <col min="4877" max="4877" width="10.125" style="1078" bestFit="1" customWidth="1"/>
    <col min="4878" max="4878" width="13.125" style="1078" customWidth="1"/>
    <col min="4879" max="5120" width="9" style="1078"/>
    <col min="5121" max="5121" width="10.875" style="1078" customWidth="1"/>
    <col min="5122" max="5122" width="28.125" style="1078" customWidth="1"/>
    <col min="5123" max="5123" width="14.5" style="1078" customWidth="1"/>
    <col min="5124" max="5124" width="9.625" style="1078" customWidth="1"/>
    <col min="5125" max="5125" width="17.25" style="1078" customWidth="1"/>
    <col min="5126" max="5126" width="14.75" style="1078" customWidth="1"/>
    <col min="5127" max="5128" width="14.75" style="1078" bestFit="1" customWidth="1"/>
    <col min="5129" max="5129" width="15" style="1078" customWidth="1"/>
    <col min="5130" max="5130" width="14.75" style="1078" bestFit="1" customWidth="1"/>
    <col min="5131" max="5131" width="13.125" style="1078" customWidth="1"/>
    <col min="5132" max="5132" width="12" style="1078" bestFit="1" customWidth="1"/>
    <col min="5133" max="5133" width="10.125" style="1078" bestFit="1" customWidth="1"/>
    <col min="5134" max="5134" width="13.125" style="1078" customWidth="1"/>
    <col min="5135" max="5376" width="9" style="1078"/>
    <col min="5377" max="5377" width="10.875" style="1078" customWidth="1"/>
    <col min="5378" max="5378" width="28.125" style="1078" customWidth="1"/>
    <col min="5379" max="5379" width="14.5" style="1078" customWidth="1"/>
    <col min="5380" max="5380" width="9.625" style="1078" customWidth="1"/>
    <col min="5381" max="5381" width="17.25" style="1078" customWidth="1"/>
    <col min="5382" max="5382" width="14.75" style="1078" customWidth="1"/>
    <col min="5383" max="5384" width="14.75" style="1078" bestFit="1" customWidth="1"/>
    <col min="5385" max="5385" width="15" style="1078" customWidth="1"/>
    <col min="5386" max="5386" width="14.75" style="1078" bestFit="1" customWidth="1"/>
    <col min="5387" max="5387" width="13.125" style="1078" customWidth="1"/>
    <col min="5388" max="5388" width="12" style="1078" bestFit="1" customWidth="1"/>
    <col min="5389" max="5389" width="10.125" style="1078" bestFit="1" customWidth="1"/>
    <col min="5390" max="5390" width="13.125" style="1078" customWidth="1"/>
    <col min="5391" max="5632" width="9" style="1078"/>
    <col min="5633" max="5633" width="10.875" style="1078" customWidth="1"/>
    <col min="5634" max="5634" width="28.125" style="1078" customWidth="1"/>
    <col min="5635" max="5635" width="14.5" style="1078" customWidth="1"/>
    <col min="5636" max="5636" width="9.625" style="1078" customWidth="1"/>
    <col min="5637" max="5637" width="17.25" style="1078" customWidth="1"/>
    <col min="5638" max="5638" width="14.75" style="1078" customWidth="1"/>
    <col min="5639" max="5640" width="14.75" style="1078" bestFit="1" customWidth="1"/>
    <col min="5641" max="5641" width="15" style="1078" customWidth="1"/>
    <col min="5642" max="5642" width="14.75" style="1078" bestFit="1" customWidth="1"/>
    <col min="5643" max="5643" width="13.125" style="1078" customWidth="1"/>
    <col min="5644" max="5644" width="12" style="1078" bestFit="1" customWidth="1"/>
    <col min="5645" max="5645" width="10.125" style="1078" bestFit="1" customWidth="1"/>
    <col min="5646" max="5646" width="13.125" style="1078" customWidth="1"/>
    <col min="5647" max="5888" width="9" style="1078"/>
    <col min="5889" max="5889" width="10.875" style="1078" customWidth="1"/>
    <col min="5890" max="5890" width="28.125" style="1078" customWidth="1"/>
    <col min="5891" max="5891" width="14.5" style="1078" customWidth="1"/>
    <col min="5892" max="5892" width="9.625" style="1078" customWidth="1"/>
    <col min="5893" max="5893" width="17.25" style="1078" customWidth="1"/>
    <col min="5894" max="5894" width="14.75" style="1078" customWidth="1"/>
    <col min="5895" max="5896" width="14.75" style="1078" bestFit="1" customWidth="1"/>
    <col min="5897" max="5897" width="15" style="1078" customWidth="1"/>
    <col min="5898" max="5898" width="14.75" style="1078" bestFit="1" customWidth="1"/>
    <col min="5899" max="5899" width="13.125" style="1078" customWidth="1"/>
    <col min="5900" max="5900" width="12" style="1078" bestFit="1" customWidth="1"/>
    <col min="5901" max="5901" width="10.125" style="1078" bestFit="1" customWidth="1"/>
    <col min="5902" max="5902" width="13.125" style="1078" customWidth="1"/>
    <col min="5903" max="6144" width="9" style="1078"/>
    <col min="6145" max="6145" width="10.875" style="1078" customWidth="1"/>
    <col min="6146" max="6146" width="28.125" style="1078" customWidth="1"/>
    <col min="6147" max="6147" width="14.5" style="1078" customWidth="1"/>
    <col min="6148" max="6148" width="9.625" style="1078" customWidth="1"/>
    <col min="6149" max="6149" width="17.25" style="1078" customWidth="1"/>
    <col min="6150" max="6150" width="14.75" style="1078" customWidth="1"/>
    <col min="6151" max="6152" width="14.75" style="1078" bestFit="1" customWidth="1"/>
    <col min="6153" max="6153" width="15" style="1078" customWidth="1"/>
    <col min="6154" max="6154" width="14.75" style="1078" bestFit="1" customWidth="1"/>
    <col min="6155" max="6155" width="13.125" style="1078" customWidth="1"/>
    <col min="6156" max="6156" width="12" style="1078" bestFit="1" customWidth="1"/>
    <col min="6157" max="6157" width="10.125" style="1078" bestFit="1" customWidth="1"/>
    <col min="6158" max="6158" width="13.125" style="1078" customWidth="1"/>
    <col min="6159" max="6400" width="9" style="1078"/>
    <col min="6401" max="6401" width="10.875" style="1078" customWidth="1"/>
    <col min="6402" max="6402" width="28.125" style="1078" customWidth="1"/>
    <col min="6403" max="6403" width="14.5" style="1078" customWidth="1"/>
    <col min="6404" max="6404" width="9.625" style="1078" customWidth="1"/>
    <col min="6405" max="6405" width="17.25" style="1078" customWidth="1"/>
    <col min="6406" max="6406" width="14.75" style="1078" customWidth="1"/>
    <col min="6407" max="6408" width="14.75" style="1078" bestFit="1" customWidth="1"/>
    <col min="6409" max="6409" width="15" style="1078" customWidth="1"/>
    <col min="6410" max="6410" width="14.75" style="1078" bestFit="1" customWidth="1"/>
    <col min="6411" max="6411" width="13.125" style="1078" customWidth="1"/>
    <col min="6412" max="6412" width="12" style="1078" bestFit="1" customWidth="1"/>
    <col min="6413" max="6413" width="10.125" style="1078" bestFit="1" customWidth="1"/>
    <col min="6414" max="6414" width="13.125" style="1078" customWidth="1"/>
    <col min="6415" max="6656" width="9" style="1078"/>
    <col min="6657" max="6657" width="10.875" style="1078" customWidth="1"/>
    <col min="6658" max="6658" width="28.125" style="1078" customWidth="1"/>
    <col min="6659" max="6659" width="14.5" style="1078" customWidth="1"/>
    <col min="6660" max="6660" width="9.625" style="1078" customWidth="1"/>
    <col min="6661" max="6661" width="17.25" style="1078" customWidth="1"/>
    <col min="6662" max="6662" width="14.75" style="1078" customWidth="1"/>
    <col min="6663" max="6664" width="14.75" style="1078" bestFit="1" customWidth="1"/>
    <col min="6665" max="6665" width="15" style="1078" customWidth="1"/>
    <col min="6666" max="6666" width="14.75" style="1078" bestFit="1" customWidth="1"/>
    <col min="6667" max="6667" width="13.125" style="1078" customWidth="1"/>
    <col min="6668" max="6668" width="12" style="1078" bestFit="1" customWidth="1"/>
    <col min="6669" max="6669" width="10.125" style="1078" bestFit="1" customWidth="1"/>
    <col min="6670" max="6670" width="13.125" style="1078" customWidth="1"/>
    <col min="6671" max="6912" width="9" style="1078"/>
    <col min="6913" max="6913" width="10.875" style="1078" customWidth="1"/>
    <col min="6914" max="6914" width="28.125" style="1078" customWidth="1"/>
    <col min="6915" max="6915" width="14.5" style="1078" customWidth="1"/>
    <col min="6916" max="6916" width="9.625" style="1078" customWidth="1"/>
    <col min="6917" max="6917" width="17.25" style="1078" customWidth="1"/>
    <col min="6918" max="6918" width="14.75" style="1078" customWidth="1"/>
    <col min="6919" max="6920" width="14.75" style="1078" bestFit="1" customWidth="1"/>
    <col min="6921" max="6921" width="15" style="1078" customWidth="1"/>
    <col min="6922" max="6922" width="14.75" style="1078" bestFit="1" customWidth="1"/>
    <col min="6923" max="6923" width="13.125" style="1078" customWidth="1"/>
    <col min="6924" max="6924" width="12" style="1078" bestFit="1" customWidth="1"/>
    <col min="6925" max="6925" width="10.125" style="1078" bestFit="1" customWidth="1"/>
    <col min="6926" max="6926" width="13.125" style="1078" customWidth="1"/>
    <col min="6927" max="7168" width="9" style="1078"/>
    <col min="7169" max="7169" width="10.875" style="1078" customWidth="1"/>
    <col min="7170" max="7170" width="28.125" style="1078" customWidth="1"/>
    <col min="7171" max="7171" width="14.5" style="1078" customWidth="1"/>
    <col min="7172" max="7172" width="9.625" style="1078" customWidth="1"/>
    <col min="7173" max="7173" width="17.25" style="1078" customWidth="1"/>
    <col min="7174" max="7174" width="14.75" style="1078" customWidth="1"/>
    <col min="7175" max="7176" width="14.75" style="1078" bestFit="1" customWidth="1"/>
    <col min="7177" max="7177" width="15" style="1078" customWidth="1"/>
    <col min="7178" max="7178" width="14.75" style="1078" bestFit="1" customWidth="1"/>
    <col min="7179" max="7179" width="13.125" style="1078" customWidth="1"/>
    <col min="7180" max="7180" width="12" style="1078" bestFit="1" customWidth="1"/>
    <col min="7181" max="7181" width="10.125" style="1078" bestFit="1" customWidth="1"/>
    <col min="7182" max="7182" width="13.125" style="1078" customWidth="1"/>
    <col min="7183" max="7424" width="9" style="1078"/>
    <col min="7425" max="7425" width="10.875" style="1078" customWidth="1"/>
    <col min="7426" max="7426" width="28.125" style="1078" customWidth="1"/>
    <col min="7427" max="7427" width="14.5" style="1078" customWidth="1"/>
    <col min="7428" max="7428" width="9.625" style="1078" customWidth="1"/>
    <col min="7429" max="7429" width="17.25" style="1078" customWidth="1"/>
    <col min="7430" max="7430" width="14.75" style="1078" customWidth="1"/>
    <col min="7431" max="7432" width="14.75" style="1078" bestFit="1" customWidth="1"/>
    <col min="7433" max="7433" width="15" style="1078" customWidth="1"/>
    <col min="7434" max="7434" width="14.75" style="1078" bestFit="1" customWidth="1"/>
    <col min="7435" max="7435" width="13.125" style="1078" customWidth="1"/>
    <col min="7436" max="7436" width="12" style="1078" bestFit="1" customWidth="1"/>
    <col min="7437" max="7437" width="10.125" style="1078" bestFit="1" customWidth="1"/>
    <col min="7438" max="7438" width="13.125" style="1078" customWidth="1"/>
    <col min="7439" max="7680" width="9" style="1078"/>
    <col min="7681" max="7681" width="10.875" style="1078" customWidth="1"/>
    <col min="7682" max="7682" width="28.125" style="1078" customWidth="1"/>
    <col min="7683" max="7683" width="14.5" style="1078" customWidth="1"/>
    <col min="7684" max="7684" width="9.625" style="1078" customWidth="1"/>
    <col min="7685" max="7685" width="17.25" style="1078" customWidth="1"/>
    <col min="7686" max="7686" width="14.75" style="1078" customWidth="1"/>
    <col min="7687" max="7688" width="14.75" style="1078" bestFit="1" customWidth="1"/>
    <col min="7689" max="7689" width="15" style="1078" customWidth="1"/>
    <col min="7690" max="7690" width="14.75" style="1078" bestFit="1" customWidth="1"/>
    <col min="7691" max="7691" width="13.125" style="1078" customWidth="1"/>
    <col min="7692" max="7692" width="12" style="1078" bestFit="1" customWidth="1"/>
    <col min="7693" max="7693" width="10.125" style="1078" bestFit="1" customWidth="1"/>
    <col min="7694" max="7694" width="13.125" style="1078" customWidth="1"/>
    <col min="7695" max="7936" width="9" style="1078"/>
    <col min="7937" max="7937" width="10.875" style="1078" customWidth="1"/>
    <col min="7938" max="7938" width="28.125" style="1078" customWidth="1"/>
    <col min="7939" max="7939" width="14.5" style="1078" customWidth="1"/>
    <col min="7940" max="7940" width="9.625" style="1078" customWidth="1"/>
    <col min="7941" max="7941" width="17.25" style="1078" customWidth="1"/>
    <col min="7942" max="7942" width="14.75" style="1078" customWidth="1"/>
    <col min="7943" max="7944" width="14.75" style="1078" bestFit="1" customWidth="1"/>
    <col min="7945" max="7945" width="15" style="1078" customWidth="1"/>
    <col min="7946" max="7946" width="14.75" style="1078" bestFit="1" customWidth="1"/>
    <col min="7947" max="7947" width="13.125" style="1078" customWidth="1"/>
    <col min="7948" max="7948" width="12" style="1078" bestFit="1" customWidth="1"/>
    <col min="7949" max="7949" width="10.125" style="1078" bestFit="1" customWidth="1"/>
    <col min="7950" max="7950" width="13.125" style="1078" customWidth="1"/>
    <col min="7951" max="8192" width="9" style="1078"/>
    <col min="8193" max="8193" width="10.875" style="1078" customWidth="1"/>
    <col min="8194" max="8194" width="28.125" style="1078" customWidth="1"/>
    <col min="8195" max="8195" width="14.5" style="1078" customWidth="1"/>
    <col min="8196" max="8196" width="9.625" style="1078" customWidth="1"/>
    <col min="8197" max="8197" width="17.25" style="1078" customWidth="1"/>
    <col min="8198" max="8198" width="14.75" style="1078" customWidth="1"/>
    <col min="8199" max="8200" width="14.75" style="1078" bestFit="1" customWidth="1"/>
    <col min="8201" max="8201" width="15" style="1078" customWidth="1"/>
    <col min="8202" max="8202" width="14.75" style="1078" bestFit="1" customWidth="1"/>
    <col min="8203" max="8203" width="13.125" style="1078" customWidth="1"/>
    <col min="8204" max="8204" width="12" style="1078" bestFit="1" customWidth="1"/>
    <col min="8205" max="8205" width="10.125" style="1078" bestFit="1" customWidth="1"/>
    <col min="8206" max="8206" width="13.125" style="1078" customWidth="1"/>
    <col min="8207" max="8448" width="9" style="1078"/>
    <col min="8449" max="8449" width="10.875" style="1078" customWidth="1"/>
    <col min="8450" max="8450" width="28.125" style="1078" customWidth="1"/>
    <col min="8451" max="8451" width="14.5" style="1078" customWidth="1"/>
    <col min="8452" max="8452" width="9.625" style="1078" customWidth="1"/>
    <col min="8453" max="8453" width="17.25" style="1078" customWidth="1"/>
    <col min="8454" max="8454" width="14.75" style="1078" customWidth="1"/>
    <col min="8455" max="8456" width="14.75" style="1078" bestFit="1" customWidth="1"/>
    <col min="8457" max="8457" width="15" style="1078" customWidth="1"/>
    <col min="8458" max="8458" width="14.75" style="1078" bestFit="1" customWidth="1"/>
    <col min="8459" max="8459" width="13.125" style="1078" customWidth="1"/>
    <col min="8460" max="8460" width="12" style="1078" bestFit="1" customWidth="1"/>
    <col min="8461" max="8461" width="10.125" style="1078" bestFit="1" customWidth="1"/>
    <col min="8462" max="8462" width="13.125" style="1078" customWidth="1"/>
    <col min="8463" max="8704" width="9" style="1078"/>
    <col min="8705" max="8705" width="10.875" style="1078" customWidth="1"/>
    <col min="8706" max="8706" width="28.125" style="1078" customWidth="1"/>
    <col min="8707" max="8707" width="14.5" style="1078" customWidth="1"/>
    <col min="8708" max="8708" width="9.625" style="1078" customWidth="1"/>
    <col min="8709" max="8709" width="17.25" style="1078" customWidth="1"/>
    <col min="8710" max="8710" width="14.75" style="1078" customWidth="1"/>
    <col min="8711" max="8712" width="14.75" style="1078" bestFit="1" customWidth="1"/>
    <col min="8713" max="8713" width="15" style="1078" customWidth="1"/>
    <col min="8714" max="8714" width="14.75" style="1078" bestFit="1" customWidth="1"/>
    <col min="8715" max="8715" width="13.125" style="1078" customWidth="1"/>
    <col min="8716" max="8716" width="12" style="1078" bestFit="1" customWidth="1"/>
    <col min="8717" max="8717" width="10.125" style="1078" bestFit="1" customWidth="1"/>
    <col min="8718" max="8718" width="13.125" style="1078" customWidth="1"/>
    <col min="8719" max="8960" width="9" style="1078"/>
    <col min="8961" max="8961" width="10.875" style="1078" customWidth="1"/>
    <col min="8962" max="8962" width="28.125" style="1078" customWidth="1"/>
    <col min="8963" max="8963" width="14.5" style="1078" customWidth="1"/>
    <col min="8964" max="8964" width="9.625" style="1078" customWidth="1"/>
    <col min="8965" max="8965" width="17.25" style="1078" customWidth="1"/>
    <col min="8966" max="8966" width="14.75" style="1078" customWidth="1"/>
    <col min="8967" max="8968" width="14.75" style="1078" bestFit="1" customWidth="1"/>
    <col min="8969" max="8969" width="15" style="1078" customWidth="1"/>
    <col min="8970" max="8970" width="14.75" style="1078" bestFit="1" customWidth="1"/>
    <col min="8971" max="8971" width="13.125" style="1078" customWidth="1"/>
    <col min="8972" max="8972" width="12" style="1078" bestFit="1" customWidth="1"/>
    <col min="8973" max="8973" width="10.125" style="1078" bestFit="1" customWidth="1"/>
    <col min="8974" max="8974" width="13.125" style="1078" customWidth="1"/>
    <col min="8975" max="9216" width="9" style="1078"/>
    <col min="9217" max="9217" width="10.875" style="1078" customWidth="1"/>
    <col min="9218" max="9218" width="28.125" style="1078" customWidth="1"/>
    <col min="9219" max="9219" width="14.5" style="1078" customWidth="1"/>
    <col min="9220" max="9220" width="9.625" style="1078" customWidth="1"/>
    <col min="9221" max="9221" width="17.25" style="1078" customWidth="1"/>
    <col min="9222" max="9222" width="14.75" style="1078" customWidth="1"/>
    <col min="9223" max="9224" width="14.75" style="1078" bestFit="1" customWidth="1"/>
    <col min="9225" max="9225" width="15" style="1078" customWidth="1"/>
    <col min="9226" max="9226" width="14.75" style="1078" bestFit="1" customWidth="1"/>
    <col min="9227" max="9227" width="13.125" style="1078" customWidth="1"/>
    <col min="9228" max="9228" width="12" style="1078" bestFit="1" customWidth="1"/>
    <col min="9229" max="9229" width="10.125" style="1078" bestFit="1" customWidth="1"/>
    <col min="9230" max="9230" width="13.125" style="1078" customWidth="1"/>
    <col min="9231" max="9472" width="9" style="1078"/>
    <col min="9473" max="9473" width="10.875" style="1078" customWidth="1"/>
    <col min="9474" max="9474" width="28.125" style="1078" customWidth="1"/>
    <col min="9475" max="9475" width="14.5" style="1078" customWidth="1"/>
    <col min="9476" max="9476" width="9.625" style="1078" customWidth="1"/>
    <col min="9477" max="9477" width="17.25" style="1078" customWidth="1"/>
    <col min="9478" max="9478" width="14.75" style="1078" customWidth="1"/>
    <col min="9479" max="9480" width="14.75" style="1078" bestFit="1" customWidth="1"/>
    <col min="9481" max="9481" width="15" style="1078" customWidth="1"/>
    <col min="9482" max="9482" width="14.75" style="1078" bestFit="1" customWidth="1"/>
    <col min="9483" max="9483" width="13.125" style="1078" customWidth="1"/>
    <col min="9484" max="9484" width="12" style="1078" bestFit="1" customWidth="1"/>
    <col min="9485" max="9485" width="10.125" style="1078" bestFit="1" customWidth="1"/>
    <col min="9486" max="9486" width="13.125" style="1078" customWidth="1"/>
    <col min="9487" max="9728" width="9" style="1078"/>
    <col min="9729" max="9729" width="10.875" style="1078" customWidth="1"/>
    <col min="9730" max="9730" width="28.125" style="1078" customWidth="1"/>
    <col min="9731" max="9731" width="14.5" style="1078" customWidth="1"/>
    <col min="9732" max="9732" width="9.625" style="1078" customWidth="1"/>
    <col min="9733" max="9733" width="17.25" style="1078" customWidth="1"/>
    <col min="9734" max="9734" width="14.75" style="1078" customWidth="1"/>
    <col min="9735" max="9736" width="14.75" style="1078" bestFit="1" customWidth="1"/>
    <col min="9737" max="9737" width="15" style="1078" customWidth="1"/>
    <col min="9738" max="9738" width="14.75" style="1078" bestFit="1" customWidth="1"/>
    <col min="9739" max="9739" width="13.125" style="1078" customWidth="1"/>
    <col min="9740" max="9740" width="12" style="1078" bestFit="1" customWidth="1"/>
    <col min="9741" max="9741" width="10.125" style="1078" bestFit="1" customWidth="1"/>
    <col min="9742" max="9742" width="13.125" style="1078" customWidth="1"/>
    <col min="9743" max="9984" width="9" style="1078"/>
    <col min="9985" max="9985" width="10.875" style="1078" customWidth="1"/>
    <col min="9986" max="9986" width="28.125" style="1078" customWidth="1"/>
    <col min="9987" max="9987" width="14.5" style="1078" customWidth="1"/>
    <col min="9988" max="9988" width="9.625" style="1078" customWidth="1"/>
    <col min="9989" max="9989" width="17.25" style="1078" customWidth="1"/>
    <col min="9990" max="9990" width="14.75" style="1078" customWidth="1"/>
    <col min="9991" max="9992" width="14.75" style="1078" bestFit="1" customWidth="1"/>
    <col min="9993" max="9993" width="15" style="1078" customWidth="1"/>
    <col min="9994" max="9994" width="14.75" style="1078" bestFit="1" customWidth="1"/>
    <col min="9995" max="9995" width="13.125" style="1078" customWidth="1"/>
    <col min="9996" max="9996" width="12" style="1078" bestFit="1" customWidth="1"/>
    <col min="9997" max="9997" width="10.125" style="1078" bestFit="1" customWidth="1"/>
    <col min="9998" max="9998" width="13.125" style="1078" customWidth="1"/>
    <col min="9999" max="10240" width="9" style="1078"/>
    <col min="10241" max="10241" width="10.875" style="1078" customWidth="1"/>
    <col min="10242" max="10242" width="28.125" style="1078" customWidth="1"/>
    <col min="10243" max="10243" width="14.5" style="1078" customWidth="1"/>
    <col min="10244" max="10244" width="9.625" style="1078" customWidth="1"/>
    <col min="10245" max="10245" width="17.25" style="1078" customWidth="1"/>
    <col min="10246" max="10246" width="14.75" style="1078" customWidth="1"/>
    <col min="10247" max="10248" width="14.75" style="1078" bestFit="1" customWidth="1"/>
    <col min="10249" max="10249" width="15" style="1078" customWidth="1"/>
    <col min="10250" max="10250" width="14.75" style="1078" bestFit="1" customWidth="1"/>
    <col min="10251" max="10251" width="13.125" style="1078" customWidth="1"/>
    <col min="10252" max="10252" width="12" style="1078" bestFit="1" customWidth="1"/>
    <col min="10253" max="10253" width="10.125" style="1078" bestFit="1" customWidth="1"/>
    <col min="10254" max="10254" width="13.125" style="1078" customWidth="1"/>
    <col min="10255" max="10496" width="9" style="1078"/>
    <col min="10497" max="10497" width="10.875" style="1078" customWidth="1"/>
    <col min="10498" max="10498" width="28.125" style="1078" customWidth="1"/>
    <col min="10499" max="10499" width="14.5" style="1078" customWidth="1"/>
    <col min="10500" max="10500" width="9.625" style="1078" customWidth="1"/>
    <col min="10501" max="10501" width="17.25" style="1078" customWidth="1"/>
    <col min="10502" max="10502" width="14.75" style="1078" customWidth="1"/>
    <col min="10503" max="10504" width="14.75" style="1078" bestFit="1" customWidth="1"/>
    <col min="10505" max="10505" width="15" style="1078" customWidth="1"/>
    <col min="10506" max="10506" width="14.75" style="1078" bestFit="1" customWidth="1"/>
    <col min="10507" max="10507" width="13.125" style="1078" customWidth="1"/>
    <col min="10508" max="10508" width="12" style="1078" bestFit="1" customWidth="1"/>
    <col min="10509" max="10509" width="10.125" style="1078" bestFit="1" customWidth="1"/>
    <col min="10510" max="10510" width="13.125" style="1078" customWidth="1"/>
    <col min="10511" max="10752" width="9" style="1078"/>
    <col min="10753" max="10753" width="10.875" style="1078" customWidth="1"/>
    <col min="10754" max="10754" width="28.125" style="1078" customWidth="1"/>
    <col min="10755" max="10755" width="14.5" style="1078" customWidth="1"/>
    <col min="10756" max="10756" width="9.625" style="1078" customWidth="1"/>
    <col min="10757" max="10757" width="17.25" style="1078" customWidth="1"/>
    <col min="10758" max="10758" width="14.75" style="1078" customWidth="1"/>
    <col min="10759" max="10760" width="14.75" style="1078" bestFit="1" customWidth="1"/>
    <col min="10761" max="10761" width="15" style="1078" customWidth="1"/>
    <col min="10762" max="10762" width="14.75" style="1078" bestFit="1" customWidth="1"/>
    <col min="10763" max="10763" width="13.125" style="1078" customWidth="1"/>
    <col min="10764" max="10764" width="12" style="1078" bestFit="1" customWidth="1"/>
    <col min="10765" max="10765" width="10.125" style="1078" bestFit="1" customWidth="1"/>
    <col min="10766" max="10766" width="13.125" style="1078" customWidth="1"/>
    <col min="10767" max="11008" width="9" style="1078"/>
    <col min="11009" max="11009" width="10.875" style="1078" customWidth="1"/>
    <col min="11010" max="11010" width="28.125" style="1078" customWidth="1"/>
    <col min="11011" max="11011" width="14.5" style="1078" customWidth="1"/>
    <col min="11012" max="11012" width="9.625" style="1078" customWidth="1"/>
    <col min="11013" max="11013" width="17.25" style="1078" customWidth="1"/>
    <col min="11014" max="11014" width="14.75" style="1078" customWidth="1"/>
    <col min="11015" max="11016" width="14.75" style="1078" bestFit="1" customWidth="1"/>
    <col min="11017" max="11017" width="15" style="1078" customWidth="1"/>
    <col min="11018" max="11018" width="14.75" style="1078" bestFit="1" customWidth="1"/>
    <col min="11019" max="11019" width="13.125" style="1078" customWidth="1"/>
    <col min="11020" max="11020" width="12" style="1078" bestFit="1" customWidth="1"/>
    <col min="11021" max="11021" width="10.125" style="1078" bestFit="1" customWidth="1"/>
    <col min="11022" max="11022" width="13.125" style="1078" customWidth="1"/>
    <col min="11023" max="11264" width="9" style="1078"/>
    <col min="11265" max="11265" width="10.875" style="1078" customWidth="1"/>
    <col min="11266" max="11266" width="28.125" style="1078" customWidth="1"/>
    <col min="11267" max="11267" width="14.5" style="1078" customWidth="1"/>
    <col min="11268" max="11268" width="9.625" style="1078" customWidth="1"/>
    <col min="11269" max="11269" width="17.25" style="1078" customWidth="1"/>
    <col min="11270" max="11270" width="14.75" style="1078" customWidth="1"/>
    <col min="11271" max="11272" width="14.75" style="1078" bestFit="1" customWidth="1"/>
    <col min="11273" max="11273" width="15" style="1078" customWidth="1"/>
    <col min="11274" max="11274" width="14.75" style="1078" bestFit="1" customWidth="1"/>
    <col min="11275" max="11275" width="13.125" style="1078" customWidth="1"/>
    <col min="11276" max="11276" width="12" style="1078" bestFit="1" customWidth="1"/>
    <col min="11277" max="11277" width="10.125" style="1078" bestFit="1" customWidth="1"/>
    <col min="11278" max="11278" width="13.125" style="1078" customWidth="1"/>
    <col min="11279" max="11520" width="9" style="1078"/>
    <col min="11521" max="11521" width="10.875" style="1078" customWidth="1"/>
    <col min="11522" max="11522" width="28.125" style="1078" customWidth="1"/>
    <col min="11523" max="11523" width="14.5" style="1078" customWidth="1"/>
    <col min="11524" max="11524" width="9.625" style="1078" customWidth="1"/>
    <col min="11525" max="11525" width="17.25" style="1078" customWidth="1"/>
    <col min="11526" max="11526" width="14.75" style="1078" customWidth="1"/>
    <col min="11527" max="11528" width="14.75" style="1078" bestFit="1" customWidth="1"/>
    <col min="11529" max="11529" width="15" style="1078" customWidth="1"/>
    <col min="11530" max="11530" width="14.75" style="1078" bestFit="1" customWidth="1"/>
    <col min="11531" max="11531" width="13.125" style="1078" customWidth="1"/>
    <col min="11532" max="11532" width="12" style="1078" bestFit="1" customWidth="1"/>
    <col min="11533" max="11533" width="10.125" style="1078" bestFit="1" customWidth="1"/>
    <col min="11534" max="11534" width="13.125" style="1078" customWidth="1"/>
    <col min="11535" max="11776" width="9" style="1078"/>
    <col min="11777" max="11777" width="10.875" style="1078" customWidth="1"/>
    <col min="11778" max="11778" width="28.125" style="1078" customWidth="1"/>
    <col min="11779" max="11779" width="14.5" style="1078" customWidth="1"/>
    <col min="11780" max="11780" width="9.625" style="1078" customWidth="1"/>
    <col min="11781" max="11781" width="17.25" style="1078" customWidth="1"/>
    <col min="11782" max="11782" width="14.75" style="1078" customWidth="1"/>
    <col min="11783" max="11784" width="14.75" style="1078" bestFit="1" customWidth="1"/>
    <col min="11785" max="11785" width="15" style="1078" customWidth="1"/>
    <col min="11786" max="11786" width="14.75" style="1078" bestFit="1" customWidth="1"/>
    <col min="11787" max="11787" width="13.125" style="1078" customWidth="1"/>
    <col min="11788" max="11788" width="12" style="1078" bestFit="1" customWidth="1"/>
    <col min="11789" max="11789" width="10.125" style="1078" bestFit="1" customWidth="1"/>
    <col min="11790" max="11790" width="13.125" style="1078" customWidth="1"/>
    <col min="11791" max="12032" width="9" style="1078"/>
    <col min="12033" max="12033" width="10.875" style="1078" customWidth="1"/>
    <col min="12034" max="12034" width="28.125" style="1078" customWidth="1"/>
    <col min="12035" max="12035" width="14.5" style="1078" customWidth="1"/>
    <col min="12036" max="12036" width="9.625" style="1078" customWidth="1"/>
    <col min="12037" max="12037" width="17.25" style="1078" customWidth="1"/>
    <col min="12038" max="12038" width="14.75" style="1078" customWidth="1"/>
    <col min="12039" max="12040" width="14.75" style="1078" bestFit="1" customWidth="1"/>
    <col min="12041" max="12041" width="15" style="1078" customWidth="1"/>
    <col min="12042" max="12042" width="14.75" style="1078" bestFit="1" customWidth="1"/>
    <col min="12043" max="12043" width="13.125" style="1078" customWidth="1"/>
    <col min="12044" max="12044" width="12" style="1078" bestFit="1" customWidth="1"/>
    <col min="12045" max="12045" width="10.125" style="1078" bestFit="1" customWidth="1"/>
    <col min="12046" max="12046" width="13.125" style="1078" customWidth="1"/>
    <col min="12047" max="12288" width="9" style="1078"/>
    <col min="12289" max="12289" width="10.875" style="1078" customWidth="1"/>
    <col min="12290" max="12290" width="28.125" style="1078" customWidth="1"/>
    <col min="12291" max="12291" width="14.5" style="1078" customWidth="1"/>
    <col min="12292" max="12292" width="9.625" style="1078" customWidth="1"/>
    <col min="12293" max="12293" width="17.25" style="1078" customWidth="1"/>
    <col min="12294" max="12294" width="14.75" style="1078" customWidth="1"/>
    <col min="12295" max="12296" width="14.75" style="1078" bestFit="1" customWidth="1"/>
    <col min="12297" max="12297" width="15" style="1078" customWidth="1"/>
    <col min="12298" max="12298" width="14.75" style="1078" bestFit="1" customWidth="1"/>
    <col min="12299" max="12299" width="13.125" style="1078" customWidth="1"/>
    <col min="12300" max="12300" width="12" style="1078" bestFit="1" customWidth="1"/>
    <col min="12301" max="12301" width="10.125" style="1078" bestFit="1" customWidth="1"/>
    <col min="12302" max="12302" width="13.125" style="1078" customWidth="1"/>
    <col min="12303" max="12544" width="9" style="1078"/>
    <col min="12545" max="12545" width="10.875" style="1078" customWidth="1"/>
    <col min="12546" max="12546" width="28.125" style="1078" customWidth="1"/>
    <col min="12547" max="12547" width="14.5" style="1078" customWidth="1"/>
    <col min="12548" max="12548" width="9.625" style="1078" customWidth="1"/>
    <col min="12549" max="12549" width="17.25" style="1078" customWidth="1"/>
    <col min="12550" max="12550" width="14.75" style="1078" customWidth="1"/>
    <col min="12551" max="12552" width="14.75" style="1078" bestFit="1" customWidth="1"/>
    <col min="12553" max="12553" width="15" style="1078" customWidth="1"/>
    <col min="12554" max="12554" width="14.75" style="1078" bestFit="1" customWidth="1"/>
    <col min="12555" max="12555" width="13.125" style="1078" customWidth="1"/>
    <col min="12556" max="12556" width="12" style="1078" bestFit="1" customWidth="1"/>
    <col min="12557" max="12557" width="10.125" style="1078" bestFit="1" customWidth="1"/>
    <col min="12558" max="12558" width="13.125" style="1078" customWidth="1"/>
    <col min="12559" max="12800" width="9" style="1078"/>
    <col min="12801" max="12801" width="10.875" style="1078" customWidth="1"/>
    <col min="12802" max="12802" width="28.125" style="1078" customWidth="1"/>
    <col min="12803" max="12803" width="14.5" style="1078" customWidth="1"/>
    <col min="12804" max="12804" width="9.625" style="1078" customWidth="1"/>
    <col min="12805" max="12805" width="17.25" style="1078" customWidth="1"/>
    <col min="12806" max="12806" width="14.75" style="1078" customWidth="1"/>
    <col min="12807" max="12808" width="14.75" style="1078" bestFit="1" customWidth="1"/>
    <col min="12809" max="12809" width="15" style="1078" customWidth="1"/>
    <col min="12810" max="12810" width="14.75" style="1078" bestFit="1" customWidth="1"/>
    <col min="12811" max="12811" width="13.125" style="1078" customWidth="1"/>
    <col min="12812" max="12812" width="12" style="1078" bestFit="1" customWidth="1"/>
    <col min="12813" max="12813" width="10.125" style="1078" bestFit="1" customWidth="1"/>
    <col min="12814" max="12814" width="13.125" style="1078" customWidth="1"/>
    <col min="12815" max="13056" width="9" style="1078"/>
    <col min="13057" max="13057" width="10.875" style="1078" customWidth="1"/>
    <col min="13058" max="13058" width="28.125" style="1078" customWidth="1"/>
    <col min="13059" max="13059" width="14.5" style="1078" customWidth="1"/>
    <col min="13060" max="13060" width="9.625" style="1078" customWidth="1"/>
    <col min="13061" max="13061" width="17.25" style="1078" customWidth="1"/>
    <col min="13062" max="13062" width="14.75" style="1078" customWidth="1"/>
    <col min="13063" max="13064" width="14.75" style="1078" bestFit="1" customWidth="1"/>
    <col min="13065" max="13065" width="15" style="1078" customWidth="1"/>
    <col min="13066" max="13066" width="14.75" style="1078" bestFit="1" customWidth="1"/>
    <col min="13067" max="13067" width="13.125" style="1078" customWidth="1"/>
    <col min="13068" max="13068" width="12" style="1078" bestFit="1" customWidth="1"/>
    <col min="13069" max="13069" width="10.125" style="1078" bestFit="1" customWidth="1"/>
    <col min="13070" max="13070" width="13.125" style="1078" customWidth="1"/>
    <col min="13071" max="13312" width="9" style="1078"/>
    <col min="13313" max="13313" width="10.875" style="1078" customWidth="1"/>
    <col min="13314" max="13314" width="28.125" style="1078" customWidth="1"/>
    <col min="13315" max="13315" width="14.5" style="1078" customWidth="1"/>
    <col min="13316" max="13316" width="9.625" style="1078" customWidth="1"/>
    <col min="13317" max="13317" width="17.25" style="1078" customWidth="1"/>
    <col min="13318" max="13318" width="14.75" style="1078" customWidth="1"/>
    <col min="13319" max="13320" width="14.75" style="1078" bestFit="1" customWidth="1"/>
    <col min="13321" max="13321" width="15" style="1078" customWidth="1"/>
    <col min="13322" max="13322" width="14.75" style="1078" bestFit="1" customWidth="1"/>
    <col min="13323" max="13323" width="13.125" style="1078" customWidth="1"/>
    <col min="13324" max="13324" width="12" style="1078" bestFit="1" customWidth="1"/>
    <col min="13325" max="13325" width="10.125" style="1078" bestFit="1" customWidth="1"/>
    <col min="13326" max="13326" width="13.125" style="1078" customWidth="1"/>
    <col min="13327" max="13568" width="9" style="1078"/>
    <col min="13569" max="13569" width="10.875" style="1078" customWidth="1"/>
    <col min="13570" max="13570" width="28.125" style="1078" customWidth="1"/>
    <col min="13571" max="13571" width="14.5" style="1078" customWidth="1"/>
    <col min="13572" max="13572" width="9.625" style="1078" customWidth="1"/>
    <col min="13573" max="13573" width="17.25" style="1078" customWidth="1"/>
    <col min="13574" max="13574" width="14.75" style="1078" customWidth="1"/>
    <col min="13575" max="13576" width="14.75" style="1078" bestFit="1" customWidth="1"/>
    <col min="13577" max="13577" width="15" style="1078" customWidth="1"/>
    <col min="13578" max="13578" width="14.75" style="1078" bestFit="1" customWidth="1"/>
    <col min="13579" max="13579" width="13.125" style="1078" customWidth="1"/>
    <col min="13580" max="13580" width="12" style="1078" bestFit="1" customWidth="1"/>
    <col min="13581" max="13581" width="10.125" style="1078" bestFit="1" customWidth="1"/>
    <col min="13582" max="13582" width="13.125" style="1078" customWidth="1"/>
    <col min="13583" max="13824" width="9" style="1078"/>
    <col min="13825" max="13825" width="10.875" style="1078" customWidth="1"/>
    <col min="13826" max="13826" width="28.125" style="1078" customWidth="1"/>
    <col min="13827" max="13827" width="14.5" style="1078" customWidth="1"/>
    <col min="13828" max="13828" width="9.625" style="1078" customWidth="1"/>
    <col min="13829" max="13829" width="17.25" style="1078" customWidth="1"/>
    <col min="13830" max="13830" width="14.75" style="1078" customWidth="1"/>
    <col min="13831" max="13832" width="14.75" style="1078" bestFit="1" customWidth="1"/>
    <col min="13833" max="13833" width="15" style="1078" customWidth="1"/>
    <col min="13834" max="13834" width="14.75" style="1078" bestFit="1" customWidth="1"/>
    <col min="13835" max="13835" width="13.125" style="1078" customWidth="1"/>
    <col min="13836" max="13836" width="12" style="1078" bestFit="1" customWidth="1"/>
    <col min="13837" max="13837" width="10.125" style="1078" bestFit="1" customWidth="1"/>
    <col min="13838" max="13838" width="13.125" style="1078" customWidth="1"/>
    <col min="13839" max="14080" width="9" style="1078"/>
    <col min="14081" max="14081" width="10.875" style="1078" customWidth="1"/>
    <col min="14082" max="14082" width="28.125" style="1078" customWidth="1"/>
    <col min="14083" max="14083" width="14.5" style="1078" customWidth="1"/>
    <col min="14084" max="14084" width="9.625" style="1078" customWidth="1"/>
    <col min="14085" max="14085" width="17.25" style="1078" customWidth="1"/>
    <col min="14086" max="14086" width="14.75" style="1078" customWidth="1"/>
    <col min="14087" max="14088" width="14.75" style="1078" bestFit="1" customWidth="1"/>
    <col min="14089" max="14089" width="15" style="1078" customWidth="1"/>
    <col min="14090" max="14090" width="14.75" style="1078" bestFit="1" customWidth="1"/>
    <col min="14091" max="14091" width="13.125" style="1078" customWidth="1"/>
    <col min="14092" max="14092" width="12" style="1078" bestFit="1" customWidth="1"/>
    <col min="14093" max="14093" width="10.125" style="1078" bestFit="1" customWidth="1"/>
    <col min="14094" max="14094" width="13.125" style="1078" customWidth="1"/>
    <col min="14095" max="14336" width="9" style="1078"/>
    <col min="14337" max="14337" width="10.875" style="1078" customWidth="1"/>
    <col min="14338" max="14338" width="28.125" style="1078" customWidth="1"/>
    <col min="14339" max="14339" width="14.5" style="1078" customWidth="1"/>
    <col min="14340" max="14340" width="9.625" style="1078" customWidth="1"/>
    <col min="14341" max="14341" width="17.25" style="1078" customWidth="1"/>
    <col min="14342" max="14342" width="14.75" style="1078" customWidth="1"/>
    <col min="14343" max="14344" width="14.75" style="1078" bestFit="1" customWidth="1"/>
    <col min="14345" max="14345" width="15" style="1078" customWidth="1"/>
    <col min="14346" max="14346" width="14.75" style="1078" bestFit="1" customWidth="1"/>
    <col min="14347" max="14347" width="13.125" style="1078" customWidth="1"/>
    <col min="14348" max="14348" width="12" style="1078" bestFit="1" customWidth="1"/>
    <col min="14349" max="14349" width="10.125" style="1078" bestFit="1" customWidth="1"/>
    <col min="14350" max="14350" width="13.125" style="1078" customWidth="1"/>
    <col min="14351" max="14592" width="9" style="1078"/>
    <col min="14593" max="14593" width="10.875" style="1078" customWidth="1"/>
    <col min="14594" max="14594" width="28.125" style="1078" customWidth="1"/>
    <col min="14595" max="14595" width="14.5" style="1078" customWidth="1"/>
    <col min="14596" max="14596" width="9.625" style="1078" customWidth="1"/>
    <col min="14597" max="14597" width="17.25" style="1078" customWidth="1"/>
    <col min="14598" max="14598" width="14.75" style="1078" customWidth="1"/>
    <col min="14599" max="14600" width="14.75" style="1078" bestFit="1" customWidth="1"/>
    <col min="14601" max="14601" width="15" style="1078" customWidth="1"/>
    <col min="14602" max="14602" width="14.75" style="1078" bestFit="1" customWidth="1"/>
    <col min="14603" max="14603" width="13.125" style="1078" customWidth="1"/>
    <col min="14604" max="14604" width="12" style="1078" bestFit="1" customWidth="1"/>
    <col min="14605" max="14605" width="10.125" style="1078" bestFit="1" customWidth="1"/>
    <col min="14606" max="14606" width="13.125" style="1078" customWidth="1"/>
    <col min="14607" max="14848" width="9" style="1078"/>
    <col min="14849" max="14849" width="10.875" style="1078" customWidth="1"/>
    <col min="14850" max="14850" width="28.125" style="1078" customWidth="1"/>
    <col min="14851" max="14851" width="14.5" style="1078" customWidth="1"/>
    <col min="14852" max="14852" width="9.625" style="1078" customWidth="1"/>
    <col min="14853" max="14853" width="17.25" style="1078" customWidth="1"/>
    <col min="14854" max="14854" width="14.75" style="1078" customWidth="1"/>
    <col min="14855" max="14856" width="14.75" style="1078" bestFit="1" customWidth="1"/>
    <col min="14857" max="14857" width="15" style="1078" customWidth="1"/>
    <col min="14858" max="14858" width="14.75" style="1078" bestFit="1" customWidth="1"/>
    <col min="14859" max="14859" width="13.125" style="1078" customWidth="1"/>
    <col min="14860" max="14860" width="12" style="1078" bestFit="1" customWidth="1"/>
    <col min="14861" max="14861" width="10.125" style="1078" bestFit="1" customWidth="1"/>
    <col min="14862" max="14862" width="13.125" style="1078" customWidth="1"/>
    <col min="14863" max="15104" width="9" style="1078"/>
    <col min="15105" max="15105" width="10.875" style="1078" customWidth="1"/>
    <col min="15106" max="15106" width="28.125" style="1078" customWidth="1"/>
    <col min="15107" max="15107" width="14.5" style="1078" customWidth="1"/>
    <col min="15108" max="15108" width="9.625" style="1078" customWidth="1"/>
    <col min="15109" max="15109" width="17.25" style="1078" customWidth="1"/>
    <col min="15110" max="15110" width="14.75" style="1078" customWidth="1"/>
    <col min="15111" max="15112" width="14.75" style="1078" bestFit="1" customWidth="1"/>
    <col min="15113" max="15113" width="15" style="1078" customWidth="1"/>
    <col min="15114" max="15114" width="14.75" style="1078" bestFit="1" customWidth="1"/>
    <col min="15115" max="15115" width="13.125" style="1078" customWidth="1"/>
    <col min="15116" max="15116" width="12" style="1078" bestFit="1" customWidth="1"/>
    <col min="15117" max="15117" width="10.125" style="1078" bestFit="1" customWidth="1"/>
    <col min="15118" max="15118" width="13.125" style="1078" customWidth="1"/>
    <col min="15119" max="15360" width="9" style="1078"/>
    <col min="15361" max="15361" width="10.875" style="1078" customWidth="1"/>
    <col min="15362" max="15362" width="28.125" style="1078" customWidth="1"/>
    <col min="15363" max="15363" width="14.5" style="1078" customWidth="1"/>
    <col min="15364" max="15364" width="9.625" style="1078" customWidth="1"/>
    <col min="15365" max="15365" width="17.25" style="1078" customWidth="1"/>
    <col min="15366" max="15366" width="14.75" style="1078" customWidth="1"/>
    <col min="15367" max="15368" width="14.75" style="1078" bestFit="1" customWidth="1"/>
    <col min="15369" max="15369" width="15" style="1078" customWidth="1"/>
    <col min="15370" max="15370" width="14.75" style="1078" bestFit="1" customWidth="1"/>
    <col min="15371" max="15371" width="13.125" style="1078" customWidth="1"/>
    <col min="15372" max="15372" width="12" style="1078" bestFit="1" customWidth="1"/>
    <col min="15373" max="15373" width="10.125" style="1078" bestFit="1" customWidth="1"/>
    <col min="15374" max="15374" width="13.125" style="1078" customWidth="1"/>
    <col min="15375" max="15616" width="9" style="1078"/>
    <col min="15617" max="15617" width="10.875" style="1078" customWidth="1"/>
    <col min="15618" max="15618" width="28.125" style="1078" customWidth="1"/>
    <col min="15619" max="15619" width="14.5" style="1078" customWidth="1"/>
    <col min="15620" max="15620" width="9.625" style="1078" customWidth="1"/>
    <col min="15621" max="15621" width="17.25" style="1078" customWidth="1"/>
    <col min="15622" max="15622" width="14.75" style="1078" customWidth="1"/>
    <col min="15623" max="15624" width="14.75" style="1078" bestFit="1" customWidth="1"/>
    <col min="15625" max="15625" width="15" style="1078" customWidth="1"/>
    <col min="15626" max="15626" width="14.75" style="1078" bestFit="1" customWidth="1"/>
    <col min="15627" max="15627" width="13.125" style="1078" customWidth="1"/>
    <col min="15628" max="15628" width="12" style="1078" bestFit="1" customWidth="1"/>
    <col min="15629" max="15629" width="10.125" style="1078" bestFit="1" customWidth="1"/>
    <col min="15630" max="15630" width="13.125" style="1078" customWidth="1"/>
    <col min="15631" max="15872" width="9" style="1078"/>
    <col min="15873" max="15873" width="10.875" style="1078" customWidth="1"/>
    <col min="15874" max="15874" width="28.125" style="1078" customWidth="1"/>
    <col min="15875" max="15875" width="14.5" style="1078" customWidth="1"/>
    <col min="15876" max="15876" width="9.625" style="1078" customWidth="1"/>
    <col min="15877" max="15877" width="17.25" style="1078" customWidth="1"/>
    <col min="15878" max="15878" width="14.75" style="1078" customWidth="1"/>
    <col min="15879" max="15880" width="14.75" style="1078" bestFit="1" customWidth="1"/>
    <col min="15881" max="15881" width="15" style="1078" customWidth="1"/>
    <col min="15882" max="15882" width="14.75" style="1078" bestFit="1" customWidth="1"/>
    <col min="15883" max="15883" width="13.125" style="1078" customWidth="1"/>
    <col min="15884" max="15884" width="12" style="1078" bestFit="1" customWidth="1"/>
    <col min="15885" max="15885" width="10.125" style="1078" bestFit="1" customWidth="1"/>
    <col min="15886" max="15886" width="13.125" style="1078" customWidth="1"/>
    <col min="15887" max="16128" width="9" style="1078"/>
    <col min="16129" max="16129" width="10.875" style="1078" customWidth="1"/>
    <col min="16130" max="16130" width="28.125" style="1078" customWidth="1"/>
    <col min="16131" max="16131" width="14.5" style="1078" customWidth="1"/>
    <col min="16132" max="16132" width="9.625" style="1078" customWidth="1"/>
    <col min="16133" max="16133" width="17.25" style="1078" customWidth="1"/>
    <col min="16134" max="16134" width="14.75" style="1078" customWidth="1"/>
    <col min="16135" max="16136" width="14.75" style="1078" bestFit="1" customWidth="1"/>
    <col min="16137" max="16137" width="15" style="1078" customWidth="1"/>
    <col min="16138" max="16138" width="14.75" style="1078" bestFit="1" customWidth="1"/>
    <col min="16139" max="16139" width="13.125" style="1078" customWidth="1"/>
    <col min="16140" max="16140" width="12" style="1078" bestFit="1" customWidth="1"/>
    <col min="16141" max="16141" width="10.125" style="1078" bestFit="1" customWidth="1"/>
    <col min="16142" max="16142" width="13.125" style="1078" customWidth="1"/>
    <col min="16143" max="16381" width="9" style="1078"/>
    <col min="16382" max="16384" width="8.75" style="1078" customWidth="1"/>
  </cols>
  <sheetData>
    <row r="2" spans="1:16" ht="27.6" customHeight="1">
      <c r="A2" s="1076"/>
      <c r="B2" s="2120" t="s">
        <v>676</v>
      </c>
      <c r="C2" s="1077"/>
      <c r="D2" s="1076"/>
      <c r="E2" s="1076"/>
      <c r="F2" s="1076"/>
      <c r="G2" s="1076"/>
      <c r="H2" s="1076"/>
      <c r="I2" s="1076"/>
      <c r="J2" s="1076"/>
      <c r="K2" s="1076"/>
      <c r="L2" s="1076"/>
      <c r="M2" s="1076"/>
      <c r="N2" s="1076"/>
      <c r="O2" s="1076"/>
    </row>
    <row r="3" spans="1:16" ht="25.15" customHeight="1">
      <c r="B3" s="2125"/>
    </row>
    <row r="4" spans="1:16" ht="14.45" customHeight="1" thickBot="1">
      <c r="B4" s="1080" t="s">
        <v>2109</v>
      </c>
      <c r="C4" s="1081"/>
      <c r="K4" s="1082" t="s">
        <v>639</v>
      </c>
      <c r="N4" s="1083"/>
    </row>
    <row r="5" spans="1:16" ht="18.75" customHeight="1">
      <c r="A5" s="1084"/>
      <c r="B5" s="2706" t="s">
        <v>640</v>
      </c>
      <c r="C5" s="2707"/>
      <c r="D5" s="1085">
        <v>202406</v>
      </c>
      <c r="E5" s="1086">
        <v>202407</v>
      </c>
      <c r="F5" s="1087" t="s">
        <v>118</v>
      </c>
      <c r="G5" s="1088" t="s">
        <v>119</v>
      </c>
      <c r="H5" s="1089" t="s">
        <v>120</v>
      </c>
      <c r="I5" s="2708" t="s">
        <v>641</v>
      </c>
      <c r="J5" s="2708"/>
      <c r="K5" s="2708"/>
      <c r="P5" s="1078" t="s">
        <v>1683</v>
      </c>
    </row>
    <row r="6" spans="1:16" ht="18.75" customHeight="1">
      <c r="A6" s="1084"/>
      <c r="B6" s="2741" t="s">
        <v>642</v>
      </c>
      <c r="C6" s="2742"/>
      <c r="D6" s="1090">
        <v>1100520070</v>
      </c>
      <c r="E6" s="1091">
        <f>D132</f>
        <v>1177965381</v>
      </c>
      <c r="F6" s="1092">
        <f>IF(E6-D6=0,"-",E6-D6)</f>
        <v>77445311</v>
      </c>
      <c r="G6" s="1093">
        <v>1131124801</v>
      </c>
      <c r="H6" s="1094">
        <f>IF(E6-G6=0,"-",E6-G6)</f>
        <v>46840580</v>
      </c>
      <c r="I6" s="2709" t="s">
        <v>2118</v>
      </c>
      <c r="J6" s="2710"/>
      <c r="K6" s="2711"/>
    </row>
    <row r="7" spans="1:16" ht="17.45" customHeight="1">
      <c r="B7" s="2741" t="s">
        <v>643</v>
      </c>
      <c r="C7" s="2742"/>
      <c r="D7" s="1090">
        <v>927074540</v>
      </c>
      <c r="E7" s="1091">
        <f>D133</f>
        <v>928582470.48387098</v>
      </c>
      <c r="F7" s="1092">
        <f>IF(E7-D7=0,"-",E7-D7)</f>
        <v>1507930.4838709831</v>
      </c>
      <c r="G7" s="1093">
        <v>899607487.48387098</v>
      </c>
      <c r="H7" s="1094">
        <f>IF(E7-G7=0,"-",E7-G7)</f>
        <v>28974983</v>
      </c>
      <c r="I7" s="2712"/>
      <c r="J7" s="2713"/>
      <c r="K7" s="2714"/>
      <c r="P7" s="1078" t="s">
        <v>1682</v>
      </c>
    </row>
    <row r="8" spans="1:16" ht="15" customHeight="1">
      <c r="B8" s="2743" t="s">
        <v>644</v>
      </c>
      <c r="C8" s="2744"/>
      <c r="D8" s="1095">
        <f>SUM(D6:D7)</f>
        <v>2027594610</v>
      </c>
      <c r="E8" s="1096">
        <f>SUM(E6:E7)</f>
        <v>2106547851.483871</v>
      </c>
      <c r="F8" s="1097">
        <f>IF(E8-D8=0,"-",E8-D8)</f>
        <v>78953241.483870983</v>
      </c>
      <c r="G8" s="1098">
        <f>SUM(G6:G7)</f>
        <v>2030732288.483871</v>
      </c>
      <c r="H8" s="1099">
        <f>IF(E8-G8=0,"-",E8-G8)</f>
        <v>75815563</v>
      </c>
      <c r="I8" s="2715"/>
      <c r="J8" s="2716"/>
      <c r="K8" s="2717"/>
      <c r="N8" s="1082" t="s">
        <v>645</v>
      </c>
    </row>
    <row r="9" spans="1:16" ht="15" customHeight="1">
      <c r="B9" s="2718" t="s">
        <v>614</v>
      </c>
      <c r="C9" s="2721" t="s">
        <v>646</v>
      </c>
      <c r="D9" s="2724" t="s">
        <v>647</v>
      </c>
      <c r="E9" s="2724"/>
      <c r="F9" s="2725"/>
      <c r="G9" s="2726" t="s">
        <v>648</v>
      </c>
      <c r="H9" s="2727"/>
      <c r="I9" s="2727"/>
      <c r="J9" s="2728"/>
      <c r="K9" s="2729" t="s">
        <v>649</v>
      </c>
      <c r="L9" s="2730" t="s">
        <v>650</v>
      </c>
      <c r="M9" s="2727"/>
      <c r="N9" s="2728"/>
    </row>
    <row r="10" spans="1:16" ht="15" customHeight="1">
      <c r="B10" s="2719"/>
      <c r="C10" s="2722"/>
      <c r="D10" s="2697" t="s">
        <v>651</v>
      </c>
      <c r="E10" s="2697" t="s">
        <v>506</v>
      </c>
      <c r="F10" s="2749" t="s">
        <v>652</v>
      </c>
      <c r="G10" s="2751" t="s">
        <v>651</v>
      </c>
      <c r="H10" s="2697" t="s">
        <v>506</v>
      </c>
      <c r="I10" s="2697" t="s">
        <v>653</v>
      </c>
      <c r="J10" s="2731" t="s">
        <v>654</v>
      </c>
      <c r="K10" s="2697"/>
      <c r="L10" s="2733" t="s">
        <v>655</v>
      </c>
      <c r="M10" s="2674" t="s">
        <v>632</v>
      </c>
      <c r="N10" s="2697" t="s">
        <v>654</v>
      </c>
    </row>
    <row r="11" spans="1:16" ht="15" customHeight="1">
      <c r="B11" s="2720"/>
      <c r="C11" s="2723"/>
      <c r="D11" s="2675"/>
      <c r="E11" s="2675"/>
      <c r="F11" s="2750"/>
      <c r="G11" s="2752"/>
      <c r="H11" s="2675"/>
      <c r="I11" s="2675"/>
      <c r="J11" s="2732"/>
      <c r="K11" s="2675"/>
      <c r="L11" s="2734"/>
      <c r="M11" s="2675"/>
      <c r="N11" s="2675"/>
    </row>
    <row r="12" spans="1:16" ht="15" customHeight="1">
      <c r="B12" s="1100" t="s">
        <v>1991</v>
      </c>
      <c r="C12" s="1101" t="s">
        <v>122</v>
      </c>
      <c r="D12" s="1102">
        <v>5860600</v>
      </c>
      <c r="E12" s="1103">
        <f>D12*10%</f>
        <v>586060</v>
      </c>
      <c r="F12" s="1104">
        <f>SUM(D12:E12)</f>
        <v>6446660</v>
      </c>
      <c r="G12" s="1102">
        <v>5860600</v>
      </c>
      <c r="H12" s="1103">
        <f>G12*10%</f>
        <v>586060</v>
      </c>
      <c r="I12" s="1105">
        <f>SUM(G12:H12)</f>
        <v>6446660</v>
      </c>
      <c r="J12" s="1106" t="s">
        <v>2110</v>
      </c>
      <c r="K12" s="1107">
        <f>F12-I12</f>
        <v>0</v>
      </c>
      <c r="L12" s="1108"/>
      <c r="M12" s="1109"/>
      <c r="N12" s="1110"/>
    </row>
    <row r="13" spans="1:16" ht="15" customHeight="1">
      <c r="B13" s="1111" t="s">
        <v>1991</v>
      </c>
      <c r="C13" s="1112" t="s">
        <v>123</v>
      </c>
      <c r="D13" s="1102">
        <v>1854800</v>
      </c>
      <c r="E13" s="1103">
        <f t="shared" ref="E13:E83" si="0">D13*10%</f>
        <v>185480</v>
      </c>
      <c r="F13" s="1113">
        <f t="shared" ref="F13:F85" si="1">SUM(D13:E13)</f>
        <v>2040280</v>
      </c>
      <c r="G13" s="1102">
        <v>1854800</v>
      </c>
      <c r="H13" s="1103">
        <f t="shared" ref="H13:H83" si="2">G13*10%</f>
        <v>185480</v>
      </c>
      <c r="I13" s="1114">
        <f t="shared" ref="I13:I85" si="3">SUM(G13:H13)</f>
        <v>2040280</v>
      </c>
      <c r="J13" s="1115" t="s">
        <v>2110</v>
      </c>
      <c r="K13" s="1116">
        <f>F13-I13</f>
        <v>0</v>
      </c>
      <c r="L13" s="1117"/>
      <c r="M13" s="1118"/>
      <c r="N13" s="1119"/>
    </row>
    <row r="14" spans="1:16" ht="12" customHeight="1">
      <c r="B14" s="1111" t="s">
        <v>1991</v>
      </c>
      <c r="C14" s="1112" t="s">
        <v>123</v>
      </c>
      <c r="D14" s="1102">
        <v>77000</v>
      </c>
      <c r="E14" s="1103">
        <f t="shared" si="0"/>
        <v>7700</v>
      </c>
      <c r="F14" s="1113">
        <f t="shared" si="1"/>
        <v>84700</v>
      </c>
      <c r="G14" s="1102">
        <v>77000</v>
      </c>
      <c r="H14" s="1103">
        <f t="shared" si="2"/>
        <v>7700</v>
      </c>
      <c r="I14" s="1114">
        <f t="shared" si="3"/>
        <v>84700</v>
      </c>
      <c r="J14" s="1115" t="s">
        <v>2110</v>
      </c>
      <c r="K14" s="1116">
        <f t="shared" ref="K14:K90" si="4">F14-I14</f>
        <v>0</v>
      </c>
      <c r="L14" s="1117"/>
      <c r="M14" s="1118"/>
      <c r="N14" s="1119"/>
    </row>
    <row r="15" spans="1:16" s="1120" customFormat="1" ht="15" customHeight="1">
      <c r="A15" s="1078"/>
      <c r="B15" s="1111" t="s">
        <v>154</v>
      </c>
      <c r="C15" s="1112" t="s">
        <v>122</v>
      </c>
      <c r="D15" s="1102">
        <v>7307000</v>
      </c>
      <c r="E15" s="1103">
        <f t="shared" si="0"/>
        <v>730700</v>
      </c>
      <c r="F15" s="1113">
        <f t="shared" si="1"/>
        <v>8037700</v>
      </c>
      <c r="G15" s="1102">
        <v>7307000</v>
      </c>
      <c r="H15" s="1103">
        <f t="shared" si="2"/>
        <v>730700</v>
      </c>
      <c r="I15" s="1114">
        <f t="shared" si="3"/>
        <v>8037700</v>
      </c>
      <c r="J15" s="1115" t="s">
        <v>2110</v>
      </c>
      <c r="K15" s="1116">
        <f>F15-I15</f>
        <v>0</v>
      </c>
      <c r="L15" s="1117"/>
      <c r="M15" s="1118"/>
      <c r="N15" s="1119"/>
      <c r="O15" s="1078"/>
    </row>
    <row r="16" spans="1:16" s="1120" customFormat="1" ht="15" customHeight="1">
      <c r="A16" s="1078"/>
      <c r="B16" s="1111" t="s">
        <v>154</v>
      </c>
      <c r="C16" s="1112" t="s">
        <v>123</v>
      </c>
      <c r="D16" s="1102">
        <v>4427000</v>
      </c>
      <c r="E16" s="1103">
        <f t="shared" si="0"/>
        <v>442700</v>
      </c>
      <c r="F16" s="1113">
        <f t="shared" si="1"/>
        <v>4869700</v>
      </c>
      <c r="G16" s="1102">
        <v>4427000</v>
      </c>
      <c r="H16" s="1103">
        <f t="shared" si="2"/>
        <v>442700</v>
      </c>
      <c r="I16" s="1114">
        <f t="shared" si="3"/>
        <v>4869700</v>
      </c>
      <c r="J16" s="1115" t="s">
        <v>2110</v>
      </c>
      <c r="K16" s="1116">
        <f t="shared" si="4"/>
        <v>0</v>
      </c>
      <c r="L16" s="1117"/>
      <c r="M16" s="1119"/>
      <c r="N16" s="1119"/>
      <c r="O16" s="1078"/>
    </row>
    <row r="17" spans="1:15" s="1120" customFormat="1" ht="15" customHeight="1">
      <c r="A17" s="1078"/>
      <c r="B17" s="1111" t="s">
        <v>1994</v>
      </c>
      <c r="C17" s="1112" t="s">
        <v>122</v>
      </c>
      <c r="D17" s="1102">
        <v>42058700</v>
      </c>
      <c r="E17" s="1103">
        <f t="shared" si="0"/>
        <v>4205870</v>
      </c>
      <c r="F17" s="1113">
        <f t="shared" si="1"/>
        <v>46264570</v>
      </c>
      <c r="G17" s="1102">
        <v>42058700</v>
      </c>
      <c r="H17" s="1103">
        <f t="shared" si="2"/>
        <v>4205870</v>
      </c>
      <c r="I17" s="1114">
        <f t="shared" si="3"/>
        <v>46264570</v>
      </c>
      <c r="J17" s="1115" t="s">
        <v>2110</v>
      </c>
      <c r="K17" s="1116">
        <f t="shared" si="4"/>
        <v>0</v>
      </c>
      <c r="L17" s="1117"/>
      <c r="M17" s="1119"/>
      <c r="N17" s="1119"/>
      <c r="O17" s="1078"/>
    </row>
    <row r="18" spans="1:15" s="1120" customFormat="1" ht="15" customHeight="1">
      <c r="A18" s="1078"/>
      <c r="B18" s="1111" t="s">
        <v>1994</v>
      </c>
      <c r="C18" s="1112" t="s">
        <v>123</v>
      </c>
      <c r="D18" s="1102">
        <v>25928600</v>
      </c>
      <c r="E18" s="1103">
        <f t="shared" si="0"/>
        <v>2592860</v>
      </c>
      <c r="F18" s="1113">
        <f t="shared" si="1"/>
        <v>28521460</v>
      </c>
      <c r="G18" s="1102">
        <v>25928600</v>
      </c>
      <c r="H18" s="1103">
        <f t="shared" si="2"/>
        <v>2592860</v>
      </c>
      <c r="I18" s="1114">
        <f t="shared" si="3"/>
        <v>28521460</v>
      </c>
      <c r="J18" s="1115" t="s">
        <v>2110</v>
      </c>
      <c r="K18" s="1116">
        <f t="shared" si="4"/>
        <v>0</v>
      </c>
      <c r="L18" s="1117"/>
      <c r="M18" s="1119"/>
      <c r="N18" s="1119"/>
      <c r="O18" s="1078"/>
    </row>
    <row r="19" spans="1:15" s="1120" customFormat="1" ht="15" customHeight="1">
      <c r="A19" s="1078"/>
      <c r="B19" s="1111" t="s">
        <v>1988</v>
      </c>
      <c r="C19" s="1112" t="s">
        <v>122</v>
      </c>
      <c r="D19" s="1102">
        <v>19508700</v>
      </c>
      <c r="E19" s="1103">
        <f t="shared" si="0"/>
        <v>1950870</v>
      </c>
      <c r="F19" s="1113">
        <f t="shared" si="1"/>
        <v>21459570</v>
      </c>
      <c r="G19" s="1102">
        <v>19508700</v>
      </c>
      <c r="H19" s="1103">
        <f t="shared" si="2"/>
        <v>1950870</v>
      </c>
      <c r="I19" s="1114">
        <f t="shared" si="3"/>
        <v>21459570</v>
      </c>
      <c r="J19" s="1115" t="s">
        <v>2110</v>
      </c>
      <c r="K19" s="1116">
        <f t="shared" si="4"/>
        <v>0</v>
      </c>
      <c r="L19" s="1117"/>
      <c r="M19" s="1119"/>
      <c r="N19" s="1119"/>
      <c r="O19" s="1078"/>
    </row>
    <row r="20" spans="1:15" s="1120" customFormat="1" ht="15" customHeight="1">
      <c r="A20" s="1078"/>
      <c r="B20" s="1111" t="s">
        <v>1988</v>
      </c>
      <c r="C20" s="1112" t="s">
        <v>123</v>
      </c>
      <c r="D20" s="1102">
        <v>11091400</v>
      </c>
      <c r="E20" s="1103">
        <f t="shared" si="0"/>
        <v>1109140</v>
      </c>
      <c r="F20" s="1113">
        <f t="shared" si="1"/>
        <v>12200540</v>
      </c>
      <c r="G20" s="1102">
        <v>11091400</v>
      </c>
      <c r="H20" s="1103">
        <f t="shared" si="2"/>
        <v>1109140</v>
      </c>
      <c r="I20" s="1114">
        <f t="shared" si="3"/>
        <v>12200540</v>
      </c>
      <c r="J20" s="1115" t="s">
        <v>2110</v>
      </c>
      <c r="K20" s="1116">
        <f t="shared" si="4"/>
        <v>0</v>
      </c>
      <c r="L20" s="1117"/>
      <c r="M20" s="1119"/>
      <c r="N20" s="1119"/>
      <c r="O20" s="1078"/>
    </row>
    <row r="21" spans="1:15" s="1120" customFormat="1" ht="15" customHeight="1">
      <c r="A21" s="1078"/>
      <c r="B21" s="1111" t="s">
        <v>1988</v>
      </c>
      <c r="C21" s="1112" t="s">
        <v>122</v>
      </c>
      <c r="D21" s="1102">
        <v>17885770</v>
      </c>
      <c r="E21" s="1103">
        <f t="shared" si="0"/>
        <v>1788577</v>
      </c>
      <c r="F21" s="1113">
        <f t="shared" si="1"/>
        <v>19674347</v>
      </c>
      <c r="G21" s="1102">
        <v>17885770</v>
      </c>
      <c r="H21" s="1103">
        <f t="shared" si="2"/>
        <v>1788577</v>
      </c>
      <c r="I21" s="1114">
        <f t="shared" si="3"/>
        <v>19674347</v>
      </c>
      <c r="J21" s="1115" t="s">
        <v>2110</v>
      </c>
      <c r="K21" s="1116">
        <f t="shared" si="4"/>
        <v>0</v>
      </c>
      <c r="L21" s="1117"/>
      <c r="M21" s="1119"/>
      <c r="N21" s="1119"/>
      <c r="O21" s="1078"/>
    </row>
    <row r="22" spans="1:15" s="1120" customFormat="1" ht="15" customHeight="1">
      <c r="A22" s="1078"/>
      <c r="B22" s="1111" t="s">
        <v>1988</v>
      </c>
      <c r="C22" s="1112" t="s">
        <v>123</v>
      </c>
      <c r="D22" s="1102">
        <v>10315430</v>
      </c>
      <c r="E22" s="1103">
        <f t="shared" si="0"/>
        <v>1031543</v>
      </c>
      <c r="F22" s="1113">
        <f t="shared" si="1"/>
        <v>11346973</v>
      </c>
      <c r="G22" s="1102">
        <v>10315430</v>
      </c>
      <c r="H22" s="1103">
        <f t="shared" si="2"/>
        <v>1031543</v>
      </c>
      <c r="I22" s="1114">
        <f t="shared" si="3"/>
        <v>11346973</v>
      </c>
      <c r="J22" s="1115" t="s">
        <v>2110</v>
      </c>
      <c r="K22" s="1116"/>
      <c r="L22" s="1117"/>
      <c r="M22" s="1119"/>
      <c r="N22" s="1119"/>
      <c r="O22" s="1078"/>
    </row>
    <row r="23" spans="1:15" s="1120" customFormat="1" ht="15" customHeight="1">
      <c r="A23" s="1078"/>
      <c r="B23" s="1111" t="s">
        <v>124</v>
      </c>
      <c r="C23" s="1112" t="s">
        <v>122</v>
      </c>
      <c r="D23" s="1102">
        <v>46285500</v>
      </c>
      <c r="E23" s="1103">
        <f t="shared" si="0"/>
        <v>4628550</v>
      </c>
      <c r="F23" s="1113">
        <f t="shared" si="1"/>
        <v>50914050</v>
      </c>
      <c r="G23" s="1102">
        <v>46285500</v>
      </c>
      <c r="H23" s="1103">
        <f t="shared" si="2"/>
        <v>4628550</v>
      </c>
      <c r="I23" s="1114">
        <f t="shared" si="3"/>
        <v>50914050</v>
      </c>
      <c r="J23" s="1115" t="s">
        <v>2111</v>
      </c>
      <c r="K23" s="1116"/>
      <c r="L23" s="1117"/>
      <c r="M23" s="1119"/>
      <c r="N23" s="1119"/>
      <c r="O23" s="1078"/>
    </row>
    <row r="24" spans="1:15" s="1120" customFormat="1" ht="15" customHeight="1">
      <c r="A24" s="1078"/>
      <c r="B24" s="1111" t="s">
        <v>124</v>
      </c>
      <c r="C24" s="1112" t="s">
        <v>123</v>
      </c>
      <c r="D24" s="1102">
        <v>29177800</v>
      </c>
      <c r="E24" s="1103">
        <f t="shared" si="0"/>
        <v>2917780</v>
      </c>
      <c r="F24" s="1113">
        <f t="shared" si="1"/>
        <v>32095580</v>
      </c>
      <c r="G24" s="1102">
        <v>29177800</v>
      </c>
      <c r="H24" s="1103">
        <f t="shared" si="2"/>
        <v>2917780</v>
      </c>
      <c r="I24" s="1114">
        <f t="shared" si="3"/>
        <v>32095580</v>
      </c>
      <c r="J24" s="1115" t="s">
        <v>2111</v>
      </c>
      <c r="K24" s="1116"/>
      <c r="L24" s="1117"/>
      <c r="M24" s="1119"/>
      <c r="N24" s="1119"/>
      <c r="O24" s="1078"/>
    </row>
    <row r="25" spans="1:15" s="1120" customFormat="1" ht="15" customHeight="1">
      <c r="A25" s="1078"/>
      <c r="B25" s="1111" t="s">
        <v>125</v>
      </c>
      <c r="C25" s="1112" t="s">
        <v>122</v>
      </c>
      <c r="D25" s="1102">
        <v>13824100</v>
      </c>
      <c r="E25" s="1103">
        <f t="shared" si="0"/>
        <v>1382410</v>
      </c>
      <c r="F25" s="1113">
        <f t="shared" si="1"/>
        <v>15206510</v>
      </c>
      <c r="G25" s="1102">
        <v>13824100</v>
      </c>
      <c r="H25" s="1103">
        <f t="shared" si="2"/>
        <v>1382410</v>
      </c>
      <c r="I25" s="1114">
        <f t="shared" si="3"/>
        <v>15206510</v>
      </c>
      <c r="J25" s="1115" t="s">
        <v>2112</v>
      </c>
      <c r="K25" s="1116"/>
      <c r="L25" s="1117"/>
      <c r="M25" s="1119"/>
      <c r="N25" s="1119"/>
      <c r="O25" s="1078"/>
    </row>
    <row r="26" spans="1:15" s="1120" customFormat="1" ht="15" customHeight="1">
      <c r="A26" s="1078"/>
      <c r="B26" s="1111" t="s">
        <v>125</v>
      </c>
      <c r="C26" s="1112" t="s">
        <v>123</v>
      </c>
      <c r="D26" s="1102">
        <v>20519500</v>
      </c>
      <c r="E26" s="1103">
        <f t="shared" si="0"/>
        <v>2051950</v>
      </c>
      <c r="F26" s="1113">
        <f t="shared" si="1"/>
        <v>22571450</v>
      </c>
      <c r="G26" s="1102">
        <v>20519500</v>
      </c>
      <c r="H26" s="1103">
        <f t="shared" si="2"/>
        <v>2051950</v>
      </c>
      <c r="I26" s="1114">
        <f t="shared" si="3"/>
        <v>22571450</v>
      </c>
      <c r="J26" s="1115" t="s">
        <v>2112</v>
      </c>
      <c r="K26" s="1116"/>
      <c r="L26" s="1117"/>
      <c r="M26" s="1119"/>
      <c r="N26" s="1119"/>
      <c r="O26" s="1078"/>
    </row>
    <row r="27" spans="1:15" s="1120" customFormat="1" ht="15" customHeight="1">
      <c r="A27" s="1078"/>
      <c r="B27" s="1111" t="s">
        <v>126</v>
      </c>
      <c r="C27" s="1112" t="s">
        <v>122</v>
      </c>
      <c r="D27" s="1102">
        <v>0</v>
      </c>
      <c r="E27" s="1103">
        <f t="shared" si="0"/>
        <v>0</v>
      </c>
      <c r="F27" s="1113">
        <f t="shared" si="1"/>
        <v>0</v>
      </c>
      <c r="G27" s="1102">
        <v>0</v>
      </c>
      <c r="H27" s="1103">
        <f t="shared" si="2"/>
        <v>0</v>
      </c>
      <c r="I27" s="1114">
        <f t="shared" si="3"/>
        <v>0</v>
      </c>
      <c r="J27" s="1115" t="s">
        <v>2111</v>
      </c>
      <c r="K27" s="1116"/>
      <c r="L27" s="1117"/>
      <c r="M27" s="1119"/>
      <c r="N27" s="1119"/>
      <c r="O27" s="1078"/>
    </row>
    <row r="28" spans="1:15" s="1120" customFormat="1" ht="15" customHeight="1">
      <c r="A28" s="1078"/>
      <c r="B28" s="1111" t="s">
        <v>126</v>
      </c>
      <c r="C28" s="1112" t="s">
        <v>123</v>
      </c>
      <c r="D28" s="1102">
        <v>3197100</v>
      </c>
      <c r="E28" s="1103">
        <f t="shared" si="0"/>
        <v>319710</v>
      </c>
      <c r="F28" s="1113">
        <f t="shared" si="1"/>
        <v>3516810</v>
      </c>
      <c r="G28" s="1102">
        <v>3197100</v>
      </c>
      <c r="H28" s="1103">
        <f t="shared" si="2"/>
        <v>319710</v>
      </c>
      <c r="I28" s="1114">
        <f t="shared" si="3"/>
        <v>3516810</v>
      </c>
      <c r="J28" s="1115" t="s">
        <v>2111</v>
      </c>
      <c r="K28" s="1116"/>
      <c r="L28" s="1117"/>
      <c r="M28" s="1119"/>
      <c r="N28" s="1119"/>
      <c r="O28" s="1078"/>
    </row>
    <row r="29" spans="1:15" s="1120" customFormat="1" ht="15" customHeight="1">
      <c r="A29" s="1078"/>
      <c r="B29" s="1111" t="s">
        <v>124</v>
      </c>
      <c r="C29" s="1112" t="s">
        <v>122</v>
      </c>
      <c r="D29" s="1102">
        <v>21897800</v>
      </c>
      <c r="E29" s="1103">
        <f t="shared" si="0"/>
        <v>2189780</v>
      </c>
      <c r="F29" s="1113">
        <f t="shared" si="1"/>
        <v>24087580</v>
      </c>
      <c r="G29" s="1102">
        <v>21897800</v>
      </c>
      <c r="H29" s="1103">
        <f t="shared" si="2"/>
        <v>2189780</v>
      </c>
      <c r="I29" s="1114">
        <f t="shared" si="3"/>
        <v>24087580</v>
      </c>
      <c r="J29" s="1115" t="s">
        <v>2111</v>
      </c>
      <c r="K29" s="1116">
        <f t="shared" si="4"/>
        <v>0</v>
      </c>
      <c r="L29" s="1117"/>
      <c r="M29" s="1119"/>
      <c r="N29" s="1119"/>
      <c r="O29" s="1078"/>
    </row>
    <row r="30" spans="1:15" s="1120" customFormat="1" ht="15" customHeight="1">
      <c r="A30" s="1078"/>
      <c r="B30" s="1121" t="s">
        <v>124</v>
      </c>
      <c r="C30" s="1112" t="s">
        <v>123</v>
      </c>
      <c r="D30" s="1102">
        <v>13277300</v>
      </c>
      <c r="E30" s="1103">
        <f t="shared" si="0"/>
        <v>1327730</v>
      </c>
      <c r="F30" s="1113">
        <f t="shared" si="1"/>
        <v>14605030</v>
      </c>
      <c r="G30" s="1102">
        <v>13277300</v>
      </c>
      <c r="H30" s="1103">
        <f t="shared" si="2"/>
        <v>1327730</v>
      </c>
      <c r="I30" s="1114">
        <f t="shared" si="3"/>
        <v>14605030</v>
      </c>
      <c r="J30" s="1115" t="s">
        <v>2111</v>
      </c>
      <c r="K30" s="1116">
        <f t="shared" si="4"/>
        <v>0</v>
      </c>
      <c r="L30" s="1117"/>
      <c r="M30" s="1118"/>
      <c r="N30" s="1119"/>
      <c r="O30" s="1078"/>
    </row>
    <row r="31" spans="1:15" s="1120" customFormat="1" ht="15" customHeight="1">
      <c r="A31" s="1078"/>
      <c r="B31" s="1121" t="s">
        <v>129</v>
      </c>
      <c r="C31" s="1112" t="s">
        <v>122</v>
      </c>
      <c r="D31" s="1102">
        <v>11837600</v>
      </c>
      <c r="E31" s="1103">
        <f t="shared" si="0"/>
        <v>1183760</v>
      </c>
      <c r="F31" s="1113">
        <f t="shared" si="1"/>
        <v>13021360</v>
      </c>
      <c r="G31" s="1102">
        <v>11837600</v>
      </c>
      <c r="H31" s="1103">
        <f t="shared" si="2"/>
        <v>1183760</v>
      </c>
      <c r="I31" s="1114">
        <f t="shared" si="3"/>
        <v>13021360</v>
      </c>
      <c r="J31" s="1115" t="s">
        <v>2113</v>
      </c>
      <c r="K31" s="1116">
        <f t="shared" si="4"/>
        <v>0</v>
      </c>
      <c r="L31" s="1122"/>
      <c r="M31" s="1123"/>
      <c r="N31" s="1119"/>
      <c r="O31" s="1078"/>
    </row>
    <row r="32" spans="1:15" s="1120" customFormat="1" ht="15" customHeight="1">
      <c r="A32" s="1078"/>
      <c r="B32" s="1111" t="s">
        <v>129</v>
      </c>
      <c r="C32" s="1112" t="s">
        <v>123</v>
      </c>
      <c r="D32" s="1102">
        <v>6715400</v>
      </c>
      <c r="E32" s="1103">
        <f t="shared" si="0"/>
        <v>671540</v>
      </c>
      <c r="F32" s="1113">
        <f t="shared" si="1"/>
        <v>7386940</v>
      </c>
      <c r="G32" s="1102">
        <v>6715400</v>
      </c>
      <c r="H32" s="1103">
        <f t="shared" si="2"/>
        <v>671540</v>
      </c>
      <c r="I32" s="1114">
        <f t="shared" si="3"/>
        <v>7386940</v>
      </c>
      <c r="J32" s="1115" t="s">
        <v>2113</v>
      </c>
      <c r="K32" s="1116">
        <f t="shared" si="4"/>
        <v>0</v>
      </c>
      <c r="L32" s="1124"/>
      <c r="M32" s="1124"/>
      <c r="N32" s="1119"/>
      <c r="O32" s="1078"/>
    </row>
    <row r="33" spans="1:15" s="1120" customFormat="1" ht="15" customHeight="1">
      <c r="A33" s="1078"/>
      <c r="B33" s="1111" t="s">
        <v>127</v>
      </c>
      <c r="C33" s="1112" t="s">
        <v>122</v>
      </c>
      <c r="D33" s="1102">
        <v>5198400</v>
      </c>
      <c r="E33" s="1103">
        <f t="shared" si="0"/>
        <v>519840</v>
      </c>
      <c r="F33" s="1113">
        <f t="shared" si="1"/>
        <v>5718240</v>
      </c>
      <c r="G33" s="1102">
        <v>5198400</v>
      </c>
      <c r="H33" s="1103">
        <f t="shared" si="2"/>
        <v>519840</v>
      </c>
      <c r="I33" s="1114">
        <f t="shared" si="3"/>
        <v>5718240</v>
      </c>
      <c r="J33" s="1115" t="s">
        <v>2110</v>
      </c>
      <c r="K33" s="1116">
        <f t="shared" si="4"/>
        <v>0</v>
      </c>
      <c r="L33" s="1124"/>
      <c r="M33" s="1124"/>
      <c r="N33" s="1119"/>
      <c r="O33" s="1078"/>
    </row>
    <row r="34" spans="1:15" s="1120" customFormat="1" ht="15" customHeight="1">
      <c r="A34" s="1078"/>
      <c r="B34" s="1111" t="s">
        <v>127</v>
      </c>
      <c r="C34" s="1112" t="s">
        <v>123</v>
      </c>
      <c r="D34" s="1102">
        <v>2877700</v>
      </c>
      <c r="E34" s="1103">
        <f t="shared" si="0"/>
        <v>287770</v>
      </c>
      <c r="F34" s="1113">
        <f t="shared" si="1"/>
        <v>3165470</v>
      </c>
      <c r="G34" s="1125">
        <v>2877700</v>
      </c>
      <c r="H34" s="1103">
        <f t="shared" si="2"/>
        <v>287770</v>
      </c>
      <c r="I34" s="1114">
        <f t="shared" si="3"/>
        <v>3165470</v>
      </c>
      <c r="J34" s="1115" t="s">
        <v>2110</v>
      </c>
      <c r="K34" s="1116">
        <f t="shared" si="4"/>
        <v>0</v>
      </c>
      <c r="L34" s="1122"/>
      <c r="M34" s="1123"/>
      <c r="N34" s="1119"/>
      <c r="O34" s="1078"/>
    </row>
    <row r="35" spans="1:15" s="1120" customFormat="1" ht="15" customHeight="1">
      <c r="A35" s="1078"/>
      <c r="B35" s="1111" t="s">
        <v>129</v>
      </c>
      <c r="C35" s="1112" t="s">
        <v>122</v>
      </c>
      <c r="D35" s="1102">
        <v>6658151</v>
      </c>
      <c r="E35" s="1103">
        <f t="shared" si="0"/>
        <v>665815.10000000009</v>
      </c>
      <c r="F35" s="1113">
        <f t="shared" si="1"/>
        <v>7323966.0999999996</v>
      </c>
      <c r="G35" s="1125">
        <v>6658151</v>
      </c>
      <c r="H35" s="1103">
        <f t="shared" si="2"/>
        <v>665815.10000000009</v>
      </c>
      <c r="I35" s="1114">
        <f t="shared" si="3"/>
        <v>7323966.0999999996</v>
      </c>
      <c r="J35" s="1115" t="s">
        <v>2113</v>
      </c>
      <c r="K35" s="1116">
        <f t="shared" si="4"/>
        <v>0</v>
      </c>
      <c r="L35" s="1117"/>
      <c r="M35" s="1119"/>
      <c r="N35" s="1119"/>
      <c r="O35" s="1078"/>
    </row>
    <row r="36" spans="1:15" s="1120" customFormat="1" ht="15" customHeight="1">
      <c r="A36" s="1078"/>
      <c r="B36" s="1121" t="s">
        <v>129</v>
      </c>
      <c r="C36" s="1112" t="s">
        <v>123</v>
      </c>
      <c r="D36" s="1102">
        <v>3804640.4838709678</v>
      </c>
      <c r="E36" s="1103">
        <f t="shared" si="0"/>
        <v>380464.04838709679</v>
      </c>
      <c r="F36" s="1113">
        <f t="shared" si="1"/>
        <v>4185104.5322580645</v>
      </c>
      <c r="G36" s="1102">
        <v>3804640.4838709678</v>
      </c>
      <c r="H36" s="1103">
        <f t="shared" si="2"/>
        <v>380464.04838709679</v>
      </c>
      <c r="I36" s="1114">
        <f t="shared" si="3"/>
        <v>4185104.5322580645</v>
      </c>
      <c r="J36" s="1115" t="s">
        <v>2113</v>
      </c>
      <c r="K36" s="1116">
        <f t="shared" si="4"/>
        <v>0</v>
      </c>
      <c r="L36" s="1117"/>
      <c r="M36" s="1118"/>
      <c r="N36" s="1119"/>
      <c r="O36" s="1078"/>
    </row>
    <row r="37" spans="1:15" s="1120" customFormat="1" ht="15" customHeight="1">
      <c r="A37" s="1078"/>
      <c r="B37" s="1121" t="s">
        <v>126</v>
      </c>
      <c r="C37" s="1112" t="s">
        <v>122</v>
      </c>
      <c r="D37" s="1102">
        <v>8901700</v>
      </c>
      <c r="E37" s="1103">
        <f t="shared" si="0"/>
        <v>890170</v>
      </c>
      <c r="F37" s="1113">
        <f t="shared" si="1"/>
        <v>9791870</v>
      </c>
      <c r="G37" s="1102">
        <v>8901700</v>
      </c>
      <c r="H37" s="1103">
        <f t="shared" si="2"/>
        <v>890170</v>
      </c>
      <c r="I37" s="1114">
        <f t="shared" si="3"/>
        <v>9791870</v>
      </c>
      <c r="J37" s="1115" t="s">
        <v>2114</v>
      </c>
      <c r="K37" s="1116">
        <f t="shared" si="4"/>
        <v>0</v>
      </c>
      <c r="L37" s="1117"/>
      <c r="M37" s="1118"/>
      <c r="N37" s="1119"/>
      <c r="O37" s="1078"/>
    </row>
    <row r="38" spans="1:15" s="1120" customFormat="1" ht="15" customHeight="1">
      <c r="A38" s="1078"/>
      <c r="B38" s="1111" t="s">
        <v>126</v>
      </c>
      <c r="C38" s="1112" t="s">
        <v>123</v>
      </c>
      <c r="D38" s="1102">
        <v>4997400</v>
      </c>
      <c r="E38" s="1103">
        <f t="shared" si="0"/>
        <v>499740</v>
      </c>
      <c r="F38" s="1113">
        <f t="shared" si="1"/>
        <v>5497140</v>
      </c>
      <c r="G38" s="1102">
        <v>4997400</v>
      </c>
      <c r="H38" s="1103">
        <f t="shared" si="2"/>
        <v>499740</v>
      </c>
      <c r="I38" s="1114">
        <f t="shared" si="3"/>
        <v>5497140</v>
      </c>
      <c r="J38" s="1115" t="s">
        <v>2114</v>
      </c>
      <c r="K38" s="1116">
        <f t="shared" si="4"/>
        <v>0</v>
      </c>
      <c r="L38" s="1117"/>
      <c r="M38" s="1118"/>
      <c r="N38" s="1119"/>
      <c r="O38" s="1078"/>
    </row>
    <row r="39" spans="1:15" s="1120" customFormat="1" ht="15" customHeight="1">
      <c r="A39" s="1078"/>
      <c r="B39" s="1111" t="s">
        <v>128</v>
      </c>
      <c r="C39" s="1112" t="s">
        <v>122</v>
      </c>
      <c r="D39" s="1102">
        <v>3192200</v>
      </c>
      <c r="E39" s="1103">
        <f t="shared" si="0"/>
        <v>319220</v>
      </c>
      <c r="F39" s="1113">
        <f t="shared" si="1"/>
        <v>3511420</v>
      </c>
      <c r="G39" s="1102">
        <v>3192200</v>
      </c>
      <c r="H39" s="1103">
        <f t="shared" si="2"/>
        <v>319220</v>
      </c>
      <c r="I39" s="1114">
        <f t="shared" si="3"/>
        <v>3511420</v>
      </c>
      <c r="J39" s="1115" t="s">
        <v>2110</v>
      </c>
      <c r="K39" s="1116">
        <f t="shared" si="4"/>
        <v>0</v>
      </c>
      <c r="L39" s="1117"/>
      <c r="M39" s="1119"/>
      <c r="N39" s="1119"/>
      <c r="O39" s="1078"/>
    </row>
    <row r="40" spans="1:15" s="1120" customFormat="1" ht="15" customHeight="1">
      <c r="A40" s="1078"/>
      <c r="B40" s="1111" t="s">
        <v>128</v>
      </c>
      <c r="C40" s="1126" t="s">
        <v>123</v>
      </c>
      <c r="D40" s="1102">
        <v>1828500</v>
      </c>
      <c r="E40" s="1103">
        <f t="shared" si="0"/>
        <v>182850</v>
      </c>
      <c r="F40" s="1113">
        <f t="shared" si="1"/>
        <v>2011350</v>
      </c>
      <c r="G40" s="1102">
        <v>1828500</v>
      </c>
      <c r="H40" s="1103">
        <f t="shared" si="2"/>
        <v>182850</v>
      </c>
      <c r="I40" s="1114">
        <f t="shared" si="3"/>
        <v>2011350</v>
      </c>
      <c r="J40" s="1115" t="s">
        <v>2111</v>
      </c>
      <c r="K40" s="1116">
        <f t="shared" si="4"/>
        <v>0</v>
      </c>
      <c r="L40" s="1117"/>
      <c r="M40" s="1119"/>
      <c r="N40" s="1119"/>
      <c r="O40" s="1078"/>
    </row>
    <row r="41" spans="1:15" s="1120" customFormat="1" ht="15" customHeight="1">
      <c r="A41" s="1078"/>
      <c r="B41" s="1111" t="s">
        <v>129</v>
      </c>
      <c r="C41" s="1126" t="s">
        <v>122</v>
      </c>
      <c r="D41" s="1102"/>
      <c r="E41" s="1103">
        <f t="shared" si="0"/>
        <v>0</v>
      </c>
      <c r="F41" s="1113">
        <f t="shared" si="1"/>
        <v>0</v>
      </c>
      <c r="G41" s="1102"/>
      <c r="H41" s="1103">
        <f t="shared" si="2"/>
        <v>0</v>
      </c>
      <c r="I41" s="1114">
        <f t="shared" si="3"/>
        <v>0</v>
      </c>
      <c r="J41" s="1115" t="s">
        <v>2113</v>
      </c>
      <c r="K41" s="1116">
        <f t="shared" si="4"/>
        <v>0</v>
      </c>
      <c r="L41" s="1127"/>
      <c r="M41" s="1119"/>
      <c r="N41" s="1119"/>
      <c r="O41" s="1078"/>
    </row>
    <row r="42" spans="1:15" s="1120" customFormat="1" ht="15" customHeight="1">
      <c r="A42" s="1078"/>
      <c r="B42" s="1111" t="s">
        <v>129</v>
      </c>
      <c r="C42" s="1126" t="s">
        <v>123</v>
      </c>
      <c r="D42" s="1102">
        <v>1954500</v>
      </c>
      <c r="E42" s="1103">
        <f t="shared" si="0"/>
        <v>195450</v>
      </c>
      <c r="F42" s="1113">
        <f t="shared" si="1"/>
        <v>2149950</v>
      </c>
      <c r="G42" s="1102">
        <v>1954500</v>
      </c>
      <c r="H42" s="1103">
        <f t="shared" si="2"/>
        <v>195450</v>
      </c>
      <c r="I42" s="1114">
        <f t="shared" si="3"/>
        <v>2149950</v>
      </c>
      <c r="J42" s="1115" t="s">
        <v>2113</v>
      </c>
      <c r="K42" s="1116">
        <f t="shared" si="4"/>
        <v>0</v>
      </c>
      <c r="L42" s="1117"/>
      <c r="M42" s="1119"/>
      <c r="N42" s="1119"/>
      <c r="O42" s="1078"/>
    </row>
    <row r="43" spans="1:15" s="1120" customFormat="1" ht="15" customHeight="1">
      <c r="A43" s="1078"/>
      <c r="B43" s="1111" t="s">
        <v>130</v>
      </c>
      <c r="C43" s="1126" t="s">
        <v>122</v>
      </c>
      <c r="D43" s="1102">
        <v>4151200</v>
      </c>
      <c r="E43" s="1103">
        <f t="shared" si="0"/>
        <v>415120</v>
      </c>
      <c r="F43" s="1113">
        <f t="shared" si="1"/>
        <v>4566320</v>
      </c>
      <c r="G43" s="1102">
        <v>4151200</v>
      </c>
      <c r="H43" s="1103">
        <f t="shared" si="2"/>
        <v>415120</v>
      </c>
      <c r="I43" s="1114">
        <f t="shared" si="3"/>
        <v>4566320</v>
      </c>
      <c r="J43" s="1115" t="s">
        <v>2110</v>
      </c>
      <c r="K43" s="1116">
        <f t="shared" si="4"/>
        <v>0</v>
      </c>
      <c r="L43" s="1127"/>
      <c r="M43" s="1119"/>
      <c r="N43" s="1119"/>
      <c r="O43" s="1078"/>
    </row>
    <row r="44" spans="1:15" s="1120" customFormat="1" ht="15" customHeight="1">
      <c r="A44" s="1078"/>
      <c r="B44" s="1111" t="s">
        <v>130</v>
      </c>
      <c r="C44" s="1126" t="s">
        <v>123</v>
      </c>
      <c r="D44" s="1102">
        <v>2292900</v>
      </c>
      <c r="E44" s="1103">
        <f t="shared" si="0"/>
        <v>229290</v>
      </c>
      <c r="F44" s="1113"/>
      <c r="G44" s="1102">
        <v>2292900</v>
      </c>
      <c r="H44" s="1103">
        <f t="shared" si="2"/>
        <v>229290</v>
      </c>
      <c r="I44" s="1114"/>
      <c r="J44" s="1115" t="s">
        <v>2110</v>
      </c>
      <c r="K44" s="1116"/>
      <c r="L44" s="1127"/>
      <c r="M44" s="1119"/>
      <c r="N44" s="1119"/>
      <c r="O44" s="1078"/>
    </row>
    <row r="45" spans="1:15" s="1120" customFormat="1" ht="15" customHeight="1">
      <c r="A45" s="1078"/>
      <c r="B45" s="1111" t="s">
        <v>131</v>
      </c>
      <c r="C45" s="1126" t="s">
        <v>122</v>
      </c>
      <c r="D45" s="1102">
        <v>0</v>
      </c>
      <c r="E45" s="1103">
        <f t="shared" si="0"/>
        <v>0</v>
      </c>
      <c r="F45" s="1113"/>
      <c r="G45" s="1102">
        <v>0</v>
      </c>
      <c r="H45" s="1103">
        <f t="shared" si="2"/>
        <v>0</v>
      </c>
      <c r="I45" s="1114"/>
      <c r="J45" s="1115" t="s">
        <v>2110</v>
      </c>
      <c r="K45" s="1116"/>
      <c r="L45" s="1127"/>
      <c r="M45" s="1119"/>
      <c r="N45" s="1119"/>
      <c r="O45" s="1078"/>
    </row>
    <row r="46" spans="1:15" s="1120" customFormat="1" ht="15" customHeight="1">
      <c r="A46" s="1078"/>
      <c r="B46" s="1111" t="s">
        <v>131</v>
      </c>
      <c r="C46" s="1112" t="s">
        <v>123</v>
      </c>
      <c r="D46" s="1102">
        <v>751300</v>
      </c>
      <c r="E46" s="1103">
        <f t="shared" si="0"/>
        <v>75130</v>
      </c>
      <c r="F46" s="1113">
        <f t="shared" si="1"/>
        <v>826430</v>
      </c>
      <c r="G46" s="1102">
        <v>751300</v>
      </c>
      <c r="H46" s="1103">
        <f t="shared" si="2"/>
        <v>75130</v>
      </c>
      <c r="I46" s="1114">
        <f t="shared" si="3"/>
        <v>826430</v>
      </c>
      <c r="J46" s="1115" t="s">
        <v>2110</v>
      </c>
      <c r="K46" s="1116">
        <f t="shared" si="4"/>
        <v>0</v>
      </c>
      <c r="L46" s="1117"/>
      <c r="M46" s="1119"/>
      <c r="N46" s="1119"/>
      <c r="O46" s="1078"/>
    </row>
    <row r="47" spans="1:15" s="1120" customFormat="1" ht="15" customHeight="1">
      <c r="A47" s="1078"/>
      <c r="B47" s="1111" t="s">
        <v>132</v>
      </c>
      <c r="C47" s="1112" t="s">
        <v>122</v>
      </c>
      <c r="D47" s="1102">
        <v>14907800</v>
      </c>
      <c r="E47" s="1103">
        <f t="shared" si="0"/>
        <v>1490780</v>
      </c>
      <c r="F47" s="1113">
        <f t="shared" si="1"/>
        <v>16398580</v>
      </c>
      <c r="G47" s="1102">
        <v>14907800</v>
      </c>
      <c r="H47" s="1103">
        <f t="shared" si="2"/>
        <v>1490780</v>
      </c>
      <c r="I47" s="1114">
        <f t="shared" si="3"/>
        <v>16398580</v>
      </c>
      <c r="J47" s="1115" t="s">
        <v>2111</v>
      </c>
      <c r="K47" s="1116">
        <f t="shared" si="4"/>
        <v>0</v>
      </c>
      <c r="L47" s="1117"/>
      <c r="M47" s="1119"/>
      <c r="N47" s="1119"/>
      <c r="O47" s="1078"/>
    </row>
    <row r="48" spans="1:15" s="1120" customFormat="1" ht="15" customHeight="1">
      <c r="A48" s="1078"/>
      <c r="B48" s="1111" t="s">
        <v>132</v>
      </c>
      <c r="C48" s="1112" t="s">
        <v>123</v>
      </c>
      <c r="D48" s="1102">
        <v>8539700</v>
      </c>
      <c r="E48" s="1103">
        <f t="shared" si="0"/>
        <v>853970</v>
      </c>
      <c r="F48" s="1113">
        <f t="shared" si="1"/>
        <v>9393670</v>
      </c>
      <c r="G48" s="1102">
        <v>8539700</v>
      </c>
      <c r="H48" s="1103">
        <f t="shared" si="2"/>
        <v>853970</v>
      </c>
      <c r="I48" s="1114">
        <f t="shared" si="3"/>
        <v>9393670</v>
      </c>
      <c r="J48" s="1115" t="s">
        <v>2111</v>
      </c>
      <c r="K48" s="1116">
        <f t="shared" si="4"/>
        <v>0</v>
      </c>
      <c r="L48" s="1128"/>
      <c r="M48" s="1118"/>
      <c r="N48" s="1119"/>
      <c r="O48" s="1078"/>
    </row>
    <row r="49" spans="1:15" s="1120" customFormat="1" ht="15" customHeight="1">
      <c r="A49" s="1078"/>
      <c r="B49" s="1111" t="s">
        <v>1988</v>
      </c>
      <c r="C49" s="1112" t="s">
        <v>122</v>
      </c>
      <c r="D49" s="1102"/>
      <c r="E49" s="1103">
        <f t="shared" si="0"/>
        <v>0</v>
      </c>
      <c r="F49" s="1129">
        <f t="shared" si="1"/>
        <v>0</v>
      </c>
      <c r="G49" s="1102"/>
      <c r="H49" s="1103">
        <f t="shared" si="2"/>
        <v>0</v>
      </c>
      <c r="I49" s="1130">
        <f t="shared" si="3"/>
        <v>0</v>
      </c>
      <c r="J49" s="1115" t="s">
        <v>2110</v>
      </c>
      <c r="K49" s="1116">
        <f t="shared" si="4"/>
        <v>0</v>
      </c>
      <c r="L49" s="1128"/>
      <c r="M49" s="1118"/>
      <c r="N49" s="1119"/>
      <c r="O49" s="1078"/>
    </row>
    <row r="50" spans="1:15" s="1120" customFormat="1" ht="15" customHeight="1">
      <c r="A50" s="1078"/>
      <c r="B50" s="1111" t="s">
        <v>140</v>
      </c>
      <c r="C50" s="1112" t="s">
        <v>122</v>
      </c>
      <c r="D50" s="1102">
        <v>0</v>
      </c>
      <c r="E50" s="1103">
        <f t="shared" si="0"/>
        <v>0</v>
      </c>
      <c r="F50" s="1129">
        <f t="shared" si="1"/>
        <v>0</v>
      </c>
      <c r="G50" s="1102">
        <v>0</v>
      </c>
      <c r="H50" s="1103">
        <f t="shared" si="2"/>
        <v>0</v>
      </c>
      <c r="I50" s="1130">
        <f t="shared" si="3"/>
        <v>0</v>
      </c>
      <c r="J50" s="1115" t="s">
        <v>2110</v>
      </c>
      <c r="K50" s="1116">
        <f t="shared" si="4"/>
        <v>0</v>
      </c>
      <c r="L50" s="1128"/>
      <c r="M50" s="1118"/>
      <c r="N50" s="1119"/>
      <c r="O50" s="1078"/>
    </row>
    <row r="51" spans="1:15" s="1120" customFormat="1" ht="15" customHeight="1">
      <c r="A51" s="1078"/>
      <c r="B51" s="1111" t="s">
        <v>140</v>
      </c>
      <c r="C51" s="1112" t="s">
        <v>123</v>
      </c>
      <c r="D51" s="1102">
        <v>6536400</v>
      </c>
      <c r="E51" s="1103">
        <f t="shared" si="0"/>
        <v>653640</v>
      </c>
      <c r="F51" s="1129">
        <f t="shared" si="1"/>
        <v>7190040</v>
      </c>
      <c r="G51" s="1102">
        <v>6536400</v>
      </c>
      <c r="H51" s="1103">
        <f t="shared" si="2"/>
        <v>653640</v>
      </c>
      <c r="I51" s="1130">
        <f t="shared" si="3"/>
        <v>7190040</v>
      </c>
      <c r="J51" s="1115" t="s">
        <v>2110</v>
      </c>
      <c r="K51" s="1116">
        <f t="shared" si="4"/>
        <v>0</v>
      </c>
      <c r="L51" s="1117"/>
      <c r="M51" s="1118"/>
      <c r="N51" s="1119"/>
      <c r="O51" s="1078"/>
    </row>
    <row r="52" spans="1:15" s="1120" customFormat="1" ht="15" customHeight="1">
      <c r="A52" s="1078"/>
      <c r="B52" s="1111" t="s">
        <v>133</v>
      </c>
      <c r="C52" s="1112" t="s">
        <v>122</v>
      </c>
      <c r="D52" s="1102">
        <v>5540400</v>
      </c>
      <c r="E52" s="1103">
        <f t="shared" si="0"/>
        <v>554040</v>
      </c>
      <c r="F52" s="1129">
        <f t="shared" si="1"/>
        <v>6094440</v>
      </c>
      <c r="G52" s="1102">
        <v>5540400</v>
      </c>
      <c r="H52" s="1103">
        <f t="shared" si="2"/>
        <v>554040</v>
      </c>
      <c r="I52" s="1130">
        <f t="shared" si="3"/>
        <v>6094440</v>
      </c>
      <c r="J52" s="1115" t="s">
        <v>2110</v>
      </c>
      <c r="K52" s="1116">
        <f t="shared" si="4"/>
        <v>0</v>
      </c>
      <c r="L52" s="1117"/>
      <c r="M52" s="1118"/>
      <c r="N52" s="1119"/>
      <c r="O52" s="1078"/>
    </row>
    <row r="53" spans="1:15" s="1120" customFormat="1" ht="15" customHeight="1">
      <c r="A53" s="1078"/>
      <c r="B53" s="1111" t="s">
        <v>133</v>
      </c>
      <c r="C53" s="1112" t="s">
        <v>123</v>
      </c>
      <c r="D53" s="1102">
        <v>2850800</v>
      </c>
      <c r="E53" s="1103">
        <f t="shared" si="0"/>
        <v>285080</v>
      </c>
      <c r="F53" s="1129">
        <f t="shared" si="1"/>
        <v>3135880</v>
      </c>
      <c r="G53" s="1102">
        <v>2850800</v>
      </c>
      <c r="H53" s="1103">
        <f t="shared" si="2"/>
        <v>285080</v>
      </c>
      <c r="I53" s="1130">
        <f t="shared" si="3"/>
        <v>3135880</v>
      </c>
      <c r="J53" s="1115" t="s">
        <v>2110</v>
      </c>
      <c r="K53" s="1116">
        <f t="shared" si="4"/>
        <v>0</v>
      </c>
      <c r="L53" s="1117"/>
      <c r="M53" s="1119"/>
      <c r="N53" s="1119"/>
      <c r="O53" s="1078"/>
    </row>
    <row r="54" spans="1:15" s="1120" customFormat="1" ht="15" customHeight="1">
      <c r="A54" s="1078"/>
      <c r="B54" s="1121" t="s">
        <v>134</v>
      </c>
      <c r="C54" s="1131" t="s">
        <v>122</v>
      </c>
      <c r="D54" s="1132">
        <v>13963900</v>
      </c>
      <c r="E54" s="1103">
        <f t="shared" si="0"/>
        <v>1396390</v>
      </c>
      <c r="F54" s="1133">
        <f t="shared" si="1"/>
        <v>15360290</v>
      </c>
      <c r="G54" s="1132">
        <v>13963900</v>
      </c>
      <c r="H54" s="1103">
        <f t="shared" si="2"/>
        <v>1396390</v>
      </c>
      <c r="I54" s="1134">
        <f t="shared" si="3"/>
        <v>15360290</v>
      </c>
      <c r="J54" s="1135" t="s">
        <v>2110</v>
      </c>
      <c r="K54" s="1116">
        <f t="shared" si="4"/>
        <v>0</v>
      </c>
      <c r="L54" s="1117"/>
      <c r="M54" s="1119"/>
      <c r="N54" s="1119"/>
      <c r="O54" s="1078"/>
    </row>
    <row r="55" spans="1:15" s="1120" customFormat="1" ht="15" customHeight="1">
      <c r="A55" s="1078"/>
      <c r="B55" s="1121" t="s">
        <v>134</v>
      </c>
      <c r="C55" s="1112" t="s">
        <v>123</v>
      </c>
      <c r="D55" s="1102">
        <v>7329000</v>
      </c>
      <c r="E55" s="1103">
        <f t="shared" si="0"/>
        <v>732900</v>
      </c>
      <c r="F55" s="1129">
        <f t="shared" si="1"/>
        <v>8061900</v>
      </c>
      <c r="G55" s="1102">
        <v>7329000</v>
      </c>
      <c r="H55" s="1103">
        <f t="shared" si="2"/>
        <v>732900</v>
      </c>
      <c r="I55" s="1130">
        <f t="shared" si="3"/>
        <v>8061900</v>
      </c>
      <c r="J55" s="1135" t="s">
        <v>2110</v>
      </c>
      <c r="K55" s="1116">
        <f t="shared" si="4"/>
        <v>0</v>
      </c>
      <c r="L55" s="1117"/>
      <c r="M55" s="1119"/>
      <c r="N55" s="1119"/>
      <c r="O55" s="1078"/>
    </row>
    <row r="56" spans="1:15" s="1120" customFormat="1" ht="15" customHeight="1">
      <c r="A56" s="1078"/>
      <c r="B56" s="1111" t="s">
        <v>135</v>
      </c>
      <c r="C56" s="1112" t="s">
        <v>122</v>
      </c>
      <c r="D56" s="1102"/>
      <c r="E56" s="1103">
        <f t="shared" si="0"/>
        <v>0</v>
      </c>
      <c r="F56" s="1129">
        <f t="shared" si="1"/>
        <v>0</v>
      </c>
      <c r="G56" s="1102"/>
      <c r="H56" s="1103">
        <f t="shared" si="2"/>
        <v>0</v>
      </c>
      <c r="I56" s="1130">
        <f t="shared" si="3"/>
        <v>0</v>
      </c>
      <c r="J56" s="1115" t="s">
        <v>2110</v>
      </c>
      <c r="K56" s="1116"/>
      <c r="L56" s="1117"/>
      <c r="M56" s="1119"/>
      <c r="N56" s="1119"/>
      <c r="O56" s="1078"/>
    </row>
    <row r="57" spans="1:15" s="1120" customFormat="1" ht="15" customHeight="1">
      <c r="A57" s="1078"/>
      <c r="B57" s="1111" t="s">
        <v>135</v>
      </c>
      <c r="C57" s="1112" t="s">
        <v>123</v>
      </c>
      <c r="D57" s="1102">
        <v>3862500</v>
      </c>
      <c r="E57" s="1103">
        <f t="shared" si="0"/>
        <v>386250</v>
      </c>
      <c r="F57" s="1129">
        <f t="shared" si="1"/>
        <v>4248750</v>
      </c>
      <c r="G57" s="1102">
        <v>3862500</v>
      </c>
      <c r="H57" s="1103">
        <f t="shared" si="2"/>
        <v>386250</v>
      </c>
      <c r="I57" s="1130">
        <f t="shared" si="3"/>
        <v>4248750</v>
      </c>
      <c r="J57" s="1115" t="s">
        <v>2110</v>
      </c>
      <c r="K57" s="1116"/>
      <c r="L57" s="1117"/>
      <c r="M57" s="1119"/>
      <c r="N57" s="1119"/>
      <c r="O57" s="1078"/>
    </row>
    <row r="58" spans="1:15" s="1120" customFormat="1" ht="15" customHeight="1">
      <c r="A58" s="1078"/>
      <c r="B58" s="1111" t="s">
        <v>136</v>
      </c>
      <c r="C58" s="1112" t="s">
        <v>122</v>
      </c>
      <c r="D58" s="1102">
        <v>5449700</v>
      </c>
      <c r="E58" s="1103">
        <f t="shared" si="0"/>
        <v>544970</v>
      </c>
      <c r="F58" s="1129">
        <f t="shared" si="1"/>
        <v>5994670</v>
      </c>
      <c r="G58" s="1102">
        <v>5449700</v>
      </c>
      <c r="H58" s="1103">
        <f t="shared" si="2"/>
        <v>544970</v>
      </c>
      <c r="I58" s="1130">
        <f t="shared" si="3"/>
        <v>5994670</v>
      </c>
      <c r="J58" s="1115" t="s">
        <v>2110</v>
      </c>
      <c r="K58" s="1116"/>
      <c r="L58" s="1117"/>
      <c r="M58" s="1119"/>
      <c r="N58" s="1119"/>
      <c r="O58" s="1078"/>
    </row>
    <row r="59" spans="1:15" s="1120" customFormat="1" ht="15" customHeight="1">
      <c r="A59" s="1078"/>
      <c r="B59" s="1111" t="s">
        <v>136</v>
      </c>
      <c r="C59" s="1112" t="s">
        <v>123</v>
      </c>
      <c r="D59" s="1102">
        <v>1724800</v>
      </c>
      <c r="E59" s="1103">
        <f t="shared" si="0"/>
        <v>172480</v>
      </c>
      <c r="F59" s="1129">
        <f t="shared" si="1"/>
        <v>1897280</v>
      </c>
      <c r="G59" s="1102">
        <v>1724800</v>
      </c>
      <c r="H59" s="1103">
        <f t="shared" si="2"/>
        <v>172480</v>
      </c>
      <c r="I59" s="1130">
        <f t="shared" si="3"/>
        <v>1897280</v>
      </c>
      <c r="J59" s="1115" t="s">
        <v>2110</v>
      </c>
      <c r="K59" s="1116">
        <f t="shared" si="4"/>
        <v>0</v>
      </c>
      <c r="L59" s="1117"/>
      <c r="M59" s="1119"/>
      <c r="N59" s="1119"/>
      <c r="O59" s="1078"/>
    </row>
    <row r="60" spans="1:15" s="1120" customFormat="1" ht="15" customHeight="1">
      <c r="A60" s="1078"/>
      <c r="B60" s="1111" t="s">
        <v>137</v>
      </c>
      <c r="C60" s="1112" t="s">
        <v>122</v>
      </c>
      <c r="D60" s="1102"/>
      <c r="E60" s="1103">
        <f t="shared" si="0"/>
        <v>0</v>
      </c>
      <c r="F60" s="1129">
        <f t="shared" si="1"/>
        <v>0</v>
      </c>
      <c r="G60" s="1102"/>
      <c r="H60" s="1103">
        <f t="shared" si="2"/>
        <v>0</v>
      </c>
      <c r="I60" s="1130">
        <f t="shared" si="3"/>
        <v>0</v>
      </c>
      <c r="J60" s="1115" t="s">
        <v>2115</v>
      </c>
      <c r="K60" s="1116">
        <f t="shared" si="4"/>
        <v>0</v>
      </c>
      <c r="L60" s="1128"/>
      <c r="M60" s="1118"/>
      <c r="N60" s="1119"/>
      <c r="O60" s="1078"/>
    </row>
    <row r="61" spans="1:15" s="1120" customFormat="1" ht="15" customHeight="1">
      <c r="A61" s="1078"/>
      <c r="B61" s="1111" t="s">
        <v>137</v>
      </c>
      <c r="C61" s="1112" t="s">
        <v>123</v>
      </c>
      <c r="D61" s="1102">
        <v>2989400</v>
      </c>
      <c r="E61" s="1103">
        <f t="shared" si="0"/>
        <v>298940</v>
      </c>
      <c r="F61" s="1129">
        <f t="shared" si="1"/>
        <v>3288340</v>
      </c>
      <c r="G61" s="1102">
        <v>2989400</v>
      </c>
      <c r="H61" s="1103">
        <f t="shared" si="2"/>
        <v>298940</v>
      </c>
      <c r="I61" s="1130">
        <f t="shared" si="3"/>
        <v>3288340</v>
      </c>
      <c r="J61" s="1115" t="s">
        <v>2115</v>
      </c>
      <c r="K61" s="1116">
        <f t="shared" si="4"/>
        <v>0</v>
      </c>
      <c r="L61" s="1128"/>
      <c r="M61" s="1119"/>
      <c r="N61" s="1119"/>
      <c r="O61" s="1078"/>
    </row>
    <row r="62" spans="1:15" s="1120" customFormat="1" ht="15" customHeight="1">
      <c r="A62" s="1078"/>
      <c r="B62" s="1111" t="s">
        <v>1995</v>
      </c>
      <c r="C62" s="1112" t="s">
        <v>122</v>
      </c>
      <c r="D62" s="1132">
        <v>8891000</v>
      </c>
      <c r="E62" s="1103">
        <f t="shared" si="0"/>
        <v>889100</v>
      </c>
      <c r="F62" s="1129">
        <f t="shared" si="1"/>
        <v>9780100</v>
      </c>
      <c r="G62" s="1132">
        <v>8891000</v>
      </c>
      <c r="H62" s="1103">
        <f t="shared" si="2"/>
        <v>889100</v>
      </c>
      <c r="I62" s="1130">
        <f t="shared" si="3"/>
        <v>9780100</v>
      </c>
      <c r="J62" s="1115" t="s">
        <v>2113</v>
      </c>
      <c r="K62" s="1116">
        <f t="shared" si="4"/>
        <v>0</v>
      </c>
      <c r="L62" s="1128"/>
      <c r="M62" s="1119"/>
      <c r="N62" s="1119"/>
      <c r="O62" s="1078"/>
    </row>
    <row r="63" spans="1:15" s="1120" customFormat="1" ht="15" customHeight="1">
      <c r="A63" s="1078"/>
      <c r="B63" s="1111" t="s">
        <v>1995</v>
      </c>
      <c r="C63" s="1112" t="s">
        <v>123</v>
      </c>
      <c r="D63" s="1102">
        <v>4881900</v>
      </c>
      <c r="E63" s="1103">
        <f t="shared" si="0"/>
        <v>488190</v>
      </c>
      <c r="F63" s="1129">
        <f t="shared" si="1"/>
        <v>5370090</v>
      </c>
      <c r="G63" s="1102">
        <v>4881900</v>
      </c>
      <c r="H63" s="1103">
        <f t="shared" si="2"/>
        <v>488190</v>
      </c>
      <c r="I63" s="1130">
        <f t="shared" si="3"/>
        <v>5370090</v>
      </c>
      <c r="J63" s="1115" t="s">
        <v>2113</v>
      </c>
      <c r="K63" s="1116">
        <f t="shared" si="4"/>
        <v>0</v>
      </c>
      <c r="L63" s="1128"/>
      <c r="M63" s="1119"/>
      <c r="N63" s="1119"/>
      <c r="O63" s="1078"/>
    </row>
    <row r="64" spans="1:15" s="1120" customFormat="1" ht="15" customHeight="1">
      <c r="A64" s="1078"/>
      <c r="B64" s="1111" t="s">
        <v>474</v>
      </c>
      <c r="C64" s="1112" t="s">
        <v>122</v>
      </c>
      <c r="D64" s="1102">
        <v>28877450</v>
      </c>
      <c r="E64" s="1103">
        <f t="shared" si="0"/>
        <v>2887745</v>
      </c>
      <c r="F64" s="1129">
        <f t="shared" si="1"/>
        <v>31765195</v>
      </c>
      <c r="G64" s="1102">
        <v>28877450</v>
      </c>
      <c r="H64" s="1103">
        <f t="shared" si="2"/>
        <v>2887745</v>
      </c>
      <c r="I64" s="1130">
        <f t="shared" si="3"/>
        <v>31765195</v>
      </c>
      <c r="J64" s="1115" t="s">
        <v>2110</v>
      </c>
      <c r="K64" s="1116">
        <f t="shared" si="4"/>
        <v>0</v>
      </c>
      <c r="L64" s="1128"/>
      <c r="M64" s="1119"/>
      <c r="N64" s="1119"/>
      <c r="O64" s="1078"/>
    </row>
    <row r="65" spans="1:15" s="1120" customFormat="1" ht="15" customHeight="1">
      <c r="A65" s="1078"/>
      <c r="B65" s="1111" t="s">
        <v>474</v>
      </c>
      <c r="C65" s="1112" t="s">
        <v>123</v>
      </c>
      <c r="D65" s="1102">
        <v>15750480</v>
      </c>
      <c r="E65" s="1103">
        <f t="shared" si="0"/>
        <v>1575048</v>
      </c>
      <c r="F65" s="1129">
        <f t="shared" si="1"/>
        <v>17325528</v>
      </c>
      <c r="G65" s="1102">
        <v>15750480</v>
      </c>
      <c r="H65" s="1103">
        <f t="shared" si="2"/>
        <v>1575048</v>
      </c>
      <c r="I65" s="1130">
        <f t="shared" si="3"/>
        <v>17325528</v>
      </c>
      <c r="J65" s="1115" t="s">
        <v>2110</v>
      </c>
      <c r="K65" s="1116">
        <f t="shared" si="4"/>
        <v>0</v>
      </c>
      <c r="L65" s="1117"/>
      <c r="M65" s="1119"/>
      <c r="N65" s="1119"/>
      <c r="O65" s="1078"/>
    </row>
    <row r="66" spans="1:15" s="1120" customFormat="1" ht="15" customHeight="1">
      <c r="A66" s="1078"/>
      <c r="B66" s="1111" t="s">
        <v>138</v>
      </c>
      <c r="C66" s="1112" t="s">
        <v>122</v>
      </c>
      <c r="D66" s="1102">
        <v>34522300</v>
      </c>
      <c r="E66" s="1103">
        <f t="shared" si="0"/>
        <v>3452230</v>
      </c>
      <c r="F66" s="1129">
        <f t="shared" si="1"/>
        <v>37974530</v>
      </c>
      <c r="G66" s="1102">
        <v>34522300</v>
      </c>
      <c r="H66" s="1103">
        <f t="shared" si="2"/>
        <v>3452230</v>
      </c>
      <c r="I66" s="1130">
        <f t="shared" si="3"/>
        <v>37974530</v>
      </c>
      <c r="J66" s="1115" t="s">
        <v>2116</v>
      </c>
      <c r="K66" s="1116">
        <f t="shared" si="4"/>
        <v>0</v>
      </c>
      <c r="L66" s="1128"/>
      <c r="M66" s="1119"/>
      <c r="N66" s="1119"/>
      <c r="O66" s="1078"/>
    </row>
    <row r="67" spans="1:15" s="1120" customFormat="1" ht="15" customHeight="1">
      <c r="A67" s="1078"/>
      <c r="B67" s="1111" t="s">
        <v>138</v>
      </c>
      <c r="C67" s="1112" t="s">
        <v>123</v>
      </c>
      <c r="D67" s="1102">
        <v>20297100</v>
      </c>
      <c r="E67" s="1103">
        <f t="shared" si="0"/>
        <v>2029710</v>
      </c>
      <c r="F67" s="1113">
        <f t="shared" si="1"/>
        <v>22326810</v>
      </c>
      <c r="G67" s="1102">
        <v>20297100</v>
      </c>
      <c r="H67" s="1103">
        <f t="shared" si="2"/>
        <v>2029710</v>
      </c>
      <c r="I67" s="1114">
        <f t="shared" si="3"/>
        <v>22326810</v>
      </c>
      <c r="J67" s="1115" t="s">
        <v>2116</v>
      </c>
      <c r="K67" s="1116">
        <f t="shared" si="4"/>
        <v>0</v>
      </c>
      <c r="L67" s="1128"/>
      <c r="M67" s="1119"/>
      <c r="N67" s="1119"/>
      <c r="O67" s="1078"/>
    </row>
    <row r="68" spans="1:15" s="1120" customFormat="1" ht="15" customHeight="1">
      <c r="A68" s="1078"/>
      <c r="B68" s="1111" t="s">
        <v>138</v>
      </c>
      <c r="C68" s="1112" t="s">
        <v>122</v>
      </c>
      <c r="D68" s="1136">
        <v>37644700</v>
      </c>
      <c r="E68" s="1103">
        <f t="shared" si="0"/>
        <v>3764470</v>
      </c>
      <c r="F68" s="1113">
        <f t="shared" si="1"/>
        <v>41409170</v>
      </c>
      <c r="G68" s="1136">
        <v>37644700</v>
      </c>
      <c r="H68" s="1103">
        <f t="shared" si="2"/>
        <v>3764470</v>
      </c>
      <c r="I68" s="1114">
        <f t="shared" si="3"/>
        <v>41409170</v>
      </c>
      <c r="J68" s="1115" t="s">
        <v>2116</v>
      </c>
      <c r="K68" s="1116">
        <f t="shared" si="4"/>
        <v>0</v>
      </c>
      <c r="L68" s="1128"/>
      <c r="M68" s="1119"/>
      <c r="N68" s="1119"/>
      <c r="O68" s="1078"/>
    </row>
    <row r="69" spans="1:15" s="1120" customFormat="1" ht="15" customHeight="1">
      <c r="A69" s="1078"/>
      <c r="B69" s="1111" t="s">
        <v>138</v>
      </c>
      <c r="C69" s="1112" t="s">
        <v>123</v>
      </c>
      <c r="D69" s="1102">
        <v>22135200</v>
      </c>
      <c r="E69" s="1103">
        <f t="shared" si="0"/>
        <v>2213520</v>
      </c>
      <c r="F69" s="1113">
        <f t="shared" si="1"/>
        <v>24348720</v>
      </c>
      <c r="G69" s="1102">
        <v>22135200</v>
      </c>
      <c r="H69" s="1103">
        <f t="shared" si="2"/>
        <v>2213520</v>
      </c>
      <c r="I69" s="1114">
        <f t="shared" si="3"/>
        <v>24348720</v>
      </c>
      <c r="J69" s="1115" t="s">
        <v>2116</v>
      </c>
      <c r="K69" s="1116">
        <f t="shared" si="4"/>
        <v>0</v>
      </c>
      <c r="L69" s="1128"/>
      <c r="M69" s="1118"/>
      <c r="N69" s="1119"/>
      <c r="O69" s="1078"/>
    </row>
    <row r="70" spans="1:15" s="1120" customFormat="1" ht="15" customHeight="1">
      <c r="A70" s="1078"/>
      <c r="B70" s="1111" t="s">
        <v>138</v>
      </c>
      <c r="C70" s="1112" t="s">
        <v>122</v>
      </c>
      <c r="D70" s="1102">
        <v>2407700</v>
      </c>
      <c r="E70" s="1103">
        <f t="shared" si="0"/>
        <v>240770</v>
      </c>
      <c r="F70" s="1113">
        <f t="shared" si="1"/>
        <v>2648470</v>
      </c>
      <c r="G70" s="1102">
        <v>2407700</v>
      </c>
      <c r="H70" s="1103">
        <f t="shared" si="2"/>
        <v>240770</v>
      </c>
      <c r="I70" s="1114">
        <f t="shared" si="3"/>
        <v>2648470</v>
      </c>
      <c r="J70" s="1115" t="s">
        <v>2116</v>
      </c>
      <c r="K70" s="1116">
        <f t="shared" si="4"/>
        <v>0</v>
      </c>
      <c r="L70" s="1128"/>
      <c r="M70" s="1118"/>
      <c r="N70" s="1119"/>
      <c r="O70" s="1078"/>
    </row>
    <row r="71" spans="1:15" s="1120" customFormat="1" ht="15" customHeight="1">
      <c r="A71" s="1078"/>
      <c r="B71" s="1111" t="s">
        <v>138</v>
      </c>
      <c r="C71" s="1112" t="s">
        <v>123</v>
      </c>
      <c r="D71" s="1102">
        <v>1413600</v>
      </c>
      <c r="E71" s="1103">
        <f t="shared" si="0"/>
        <v>141360</v>
      </c>
      <c r="F71" s="1113">
        <f t="shared" si="1"/>
        <v>1554960</v>
      </c>
      <c r="G71" s="1102">
        <v>1413600</v>
      </c>
      <c r="H71" s="1103">
        <f t="shared" si="2"/>
        <v>141360</v>
      </c>
      <c r="I71" s="1114">
        <f t="shared" si="3"/>
        <v>1554960</v>
      </c>
      <c r="J71" s="1115" t="s">
        <v>2116</v>
      </c>
      <c r="K71" s="1116">
        <f t="shared" si="4"/>
        <v>0</v>
      </c>
      <c r="L71" s="1128"/>
      <c r="M71" s="1118"/>
      <c r="N71" s="1119"/>
      <c r="O71" s="1078"/>
    </row>
    <row r="72" spans="1:15" s="1120" customFormat="1" ht="15" customHeight="1">
      <c r="A72" s="1078"/>
      <c r="B72" s="1111" t="s">
        <v>139</v>
      </c>
      <c r="C72" s="1112" t="s">
        <v>122</v>
      </c>
      <c r="D72" s="1102">
        <v>193587500</v>
      </c>
      <c r="E72" s="1103">
        <f t="shared" si="0"/>
        <v>19358750</v>
      </c>
      <c r="F72" s="1113">
        <f t="shared" si="1"/>
        <v>212946250</v>
      </c>
      <c r="G72" s="1102">
        <v>193587500</v>
      </c>
      <c r="H72" s="1103">
        <f t="shared" si="2"/>
        <v>19358750</v>
      </c>
      <c r="I72" s="1114">
        <f t="shared" si="3"/>
        <v>212946250</v>
      </c>
      <c r="J72" s="1115" t="s">
        <v>2110</v>
      </c>
      <c r="K72" s="1116">
        <f t="shared" si="4"/>
        <v>0</v>
      </c>
      <c r="L72" s="1128"/>
      <c r="M72" s="1118"/>
      <c r="N72" s="1119"/>
      <c r="O72" s="1078"/>
    </row>
    <row r="73" spans="1:15" s="1120" customFormat="1" ht="15" customHeight="1">
      <c r="A73" s="1078"/>
      <c r="B73" s="1111" t="s">
        <v>139</v>
      </c>
      <c r="C73" s="1112" t="s">
        <v>123</v>
      </c>
      <c r="D73" s="1102">
        <v>119445100</v>
      </c>
      <c r="E73" s="1103">
        <f t="shared" si="0"/>
        <v>11944510</v>
      </c>
      <c r="F73" s="1113">
        <f t="shared" si="1"/>
        <v>131389610</v>
      </c>
      <c r="G73" s="1102">
        <v>119445100</v>
      </c>
      <c r="H73" s="1103">
        <f t="shared" si="2"/>
        <v>11944510</v>
      </c>
      <c r="I73" s="1114">
        <f t="shared" si="3"/>
        <v>131389610</v>
      </c>
      <c r="J73" s="1115" t="s">
        <v>2110</v>
      </c>
      <c r="K73" s="1116">
        <f t="shared" si="4"/>
        <v>0</v>
      </c>
      <c r="L73" s="1128"/>
      <c r="M73" s="1118"/>
      <c r="N73" s="1119"/>
      <c r="O73" s="1078"/>
    </row>
    <row r="74" spans="1:15" s="1120" customFormat="1" ht="15" customHeight="1">
      <c r="A74" s="1078"/>
      <c r="B74" s="1111" t="s">
        <v>476</v>
      </c>
      <c r="C74" s="1112" t="s">
        <v>122</v>
      </c>
      <c r="D74" s="1102">
        <v>53500000</v>
      </c>
      <c r="E74" s="1103">
        <f t="shared" si="0"/>
        <v>5350000</v>
      </c>
      <c r="F74" s="1113">
        <f t="shared" si="1"/>
        <v>58850000</v>
      </c>
      <c r="G74" s="1102">
        <v>53500000</v>
      </c>
      <c r="H74" s="1103">
        <f t="shared" si="2"/>
        <v>5350000</v>
      </c>
      <c r="I74" s="1114">
        <f t="shared" si="3"/>
        <v>58850000</v>
      </c>
      <c r="J74" s="1115" t="s">
        <v>2117</v>
      </c>
      <c r="K74" s="1116">
        <f t="shared" si="4"/>
        <v>0</v>
      </c>
      <c r="L74" s="1128"/>
      <c r="M74" s="1118"/>
      <c r="N74" s="1119"/>
      <c r="O74" s="1078"/>
    </row>
    <row r="75" spans="1:15" s="1120" customFormat="1" ht="15" customHeight="1">
      <c r="A75" s="1078"/>
      <c r="B75" s="1111" t="s">
        <v>476</v>
      </c>
      <c r="C75" s="1112" t="s">
        <v>123</v>
      </c>
      <c r="D75" s="1102">
        <v>26063300</v>
      </c>
      <c r="E75" s="1103">
        <f t="shared" si="0"/>
        <v>2606330</v>
      </c>
      <c r="F75" s="1113">
        <f t="shared" si="1"/>
        <v>28669630</v>
      </c>
      <c r="G75" s="1102">
        <v>26063300</v>
      </c>
      <c r="H75" s="1103">
        <f t="shared" si="2"/>
        <v>2606330</v>
      </c>
      <c r="I75" s="1114">
        <f t="shared" si="3"/>
        <v>28669630</v>
      </c>
      <c r="J75" s="1115" t="s">
        <v>2117</v>
      </c>
      <c r="K75" s="1116">
        <f t="shared" si="4"/>
        <v>0</v>
      </c>
      <c r="L75" s="1128"/>
      <c r="M75" s="1118"/>
      <c r="N75" s="1119"/>
      <c r="O75" s="1078"/>
    </row>
    <row r="76" spans="1:15" s="1120" customFormat="1" ht="15" customHeight="1">
      <c r="A76" s="1078"/>
      <c r="B76" s="1111" t="s">
        <v>476</v>
      </c>
      <c r="C76" s="1112" t="s">
        <v>122</v>
      </c>
      <c r="D76" s="1102">
        <v>15313600</v>
      </c>
      <c r="E76" s="1103">
        <f t="shared" si="0"/>
        <v>1531360</v>
      </c>
      <c r="F76" s="1113">
        <f t="shared" si="1"/>
        <v>16844960</v>
      </c>
      <c r="G76" s="1102">
        <v>15313600</v>
      </c>
      <c r="H76" s="1103">
        <f t="shared" si="2"/>
        <v>1531360</v>
      </c>
      <c r="I76" s="1114">
        <f t="shared" si="3"/>
        <v>16844960</v>
      </c>
      <c r="J76" s="1115" t="s">
        <v>2117</v>
      </c>
      <c r="K76" s="1116">
        <f t="shared" si="4"/>
        <v>0</v>
      </c>
      <c r="L76" s="1128"/>
      <c r="M76" s="1118"/>
      <c r="N76" s="1119"/>
      <c r="O76" s="1078"/>
    </row>
    <row r="77" spans="1:15" s="1120" customFormat="1" ht="15" customHeight="1">
      <c r="A77" s="1078"/>
      <c r="B77" s="1111" t="s">
        <v>476</v>
      </c>
      <c r="C77" s="1112" t="s">
        <v>123</v>
      </c>
      <c r="D77" s="1102">
        <v>8192800</v>
      </c>
      <c r="E77" s="1103">
        <f t="shared" si="0"/>
        <v>819280</v>
      </c>
      <c r="F77" s="1113">
        <f t="shared" si="1"/>
        <v>9012080</v>
      </c>
      <c r="G77" s="1102">
        <v>8192800</v>
      </c>
      <c r="H77" s="1103">
        <f t="shared" si="2"/>
        <v>819280</v>
      </c>
      <c r="I77" s="1114">
        <f t="shared" si="3"/>
        <v>9012080</v>
      </c>
      <c r="J77" s="1115" t="s">
        <v>2117</v>
      </c>
      <c r="K77" s="1116">
        <f t="shared" si="4"/>
        <v>0</v>
      </c>
      <c r="L77" s="1128"/>
      <c r="M77" s="1118"/>
      <c r="N77" s="1119"/>
      <c r="O77" s="1078"/>
    </row>
    <row r="78" spans="1:15" s="1120" customFormat="1" ht="15" customHeight="1">
      <c r="A78" s="1078"/>
      <c r="B78" s="1111" t="s">
        <v>477</v>
      </c>
      <c r="C78" s="1112" t="s">
        <v>122</v>
      </c>
      <c r="D78" s="1102">
        <v>0</v>
      </c>
      <c r="E78" s="1103">
        <f t="shared" si="0"/>
        <v>0</v>
      </c>
      <c r="F78" s="1113">
        <f t="shared" si="1"/>
        <v>0</v>
      </c>
      <c r="G78" s="1102">
        <v>0</v>
      </c>
      <c r="H78" s="1103">
        <f t="shared" si="2"/>
        <v>0</v>
      </c>
      <c r="I78" s="1114">
        <f t="shared" si="3"/>
        <v>0</v>
      </c>
      <c r="J78" s="1115" t="s">
        <v>2115</v>
      </c>
      <c r="K78" s="1116">
        <f t="shared" si="4"/>
        <v>0</v>
      </c>
      <c r="L78" s="1117"/>
      <c r="M78" s="1119"/>
      <c r="N78" s="1119"/>
      <c r="O78" s="1078"/>
    </row>
    <row r="79" spans="1:15" s="1120" customFormat="1" ht="15" customHeight="1">
      <c r="A79" s="1078"/>
      <c r="B79" s="1111" t="s">
        <v>477</v>
      </c>
      <c r="C79" s="1112" t="s">
        <v>123</v>
      </c>
      <c r="D79" s="1102">
        <v>8646900</v>
      </c>
      <c r="E79" s="1103">
        <f t="shared" si="0"/>
        <v>864690</v>
      </c>
      <c r="F79" s="1113">
        <f t="shared" si="1"/>
        <v>9511590</v>
      </c>
      <c r="G79" s="1102">
        <v>8646900</v>
      </c>
      <c r="H79" s="1103">
        <f t="shared" si="2"/>
        <v>864690</v>
      </c>
      <c r="I79" s="1114">
        <f t="shared" si="3"/>
        <v>9511590</v>
      </c>
      <c r="J79" s="1115" t="s">
        <v>2115</v>
      </c>
      <c r="K79" s="1116">
        <f t="shared" si="4"/>
        <v>0</v>
      </c>
      <c r="L79" s="1117"/>
      <c r="M79" s="1119"/>
      <c r="N79" s="1119"/>
      <c r="O79" s="1078"/>
    </row>
    <row r="80" spans="1:15" s="1120" customFormat="1" ht="15" customHeight="1">
      <c r="A80" s="1078"/>
      <c r="B80" s="1111" t="s">
        <v>140</v>
      </c>
      <c r="C80" s="1112" t="s">
        <v>122</v>
      </c>
      <c r="D80" s="1102">
        <v>42806100</v>
      </c>
      <c r="E80" s="1103">
        <f t="shared" si="0"/>
        <v>4280610</v>
      </c>
      <c r="F80" s="1129">
        <f t="shared" si="1"/>
        <v>47086710</v>
      </c>
      <c r="G80" s="1102">
        <v>42806100</v>
      </c>
      <c r="H80" s="1103">
        <f t="shared" si="2"/>
        <v>4280610</v>
      </c>
      <c r="I80" s="1130">
        <f t="shared" si="3"/>
        <v>47086710</v>
      </c>
      <c r="J80" s="1115" t="s">
        <v>2110</v>
      </c>
      <c r="K80" s="1116">
        <f t="shared" si="4"/>
        <v>0</v>
      </c>
      <c r="L80" s="1117"/>
      <c r="M80" s="1119"/>
      <c r="N80" s="1119"/>
      <c r="O80" s="1078"/>
    </row>
    <row r="81" spans="1:15" s="1120" customFormat="1" ht="15" customHeight="1">
      <c r="A81" s="1078"/>
      <c r="B81" s="1111" t="s">
        <v>140</v>
      </c>
      <c r="C81" s="1112" t="s">
        <v>123</v>
      </c>
      <c r="D81" s="1102">
        <v>26384900</v>
      </c>
      <c r="E81" s="1103">
        <f t="shared" si="0"/>
        <v>2638490</v>
      </c>
      <c r="F81" s="1129">
        <f t="shared" si="1"/>
        <v>29023390</v>
      </c>
      <c r="G81" s="1102">
        <v>26384900</v>
      </c>
      <c r="H81" s="1103">
        <f t="shared" si="2"/>
        <v>2638490</v>
      </c>
      <c r="I81" s="1130">
        <f t="shared" si="3"/>
        <v>29023390</v>
      </c>
      <c r="J81" s="1115" t="s">
        <v>2110</v>
      </c>
      <c r="K81" s="1116">
        <f t="shared" si="4"/>
        <v>0</v>
      </c>
      <c r="L81" s="1117"/>
      <c r="M81" s="1119"/>
      <c r="N81" s="1119"/>
      <c r="O81" s="1078"/>
    </row>
    <row r="82" spans="1:15" s="1120" customFormat="1" ht="15" customHeight="1">
      <c r="A82" s="1078"/>
      <c r="B82" s="1111" t="s">
        <v>1988</v>
      </c>
      <c r="C82" s="1112" t="s">
        <v>122</v>
      </c>
      <c r="D82" s="1137">
        <v>47551930</v>
      </c>
      <c r="E82" s="1103">
        <f t="shared" si="0"/>
        <v>4755193</v>
      </c>
      <c r="F82" s="1129">
        <f t="shared" si="1"/>
        <v>52307123</v>
      </c>
      <c r="G82" s="1137">
        <v>47551930</v>
      </c>
      <c r="H82" s="1103">
        <f t="shared" si="2"/>
        <v>4755193</v>
      </c>
      <c r="I82" s="1130">
        <f t="shared" si="3"/>
        <v>52307123</v>
      </c>
      <c r="J82" s="1115" t="s">
        <v>2110</v>
      </c>
      <c r="K82" s="1116">
        <f t="shared" si="4"/>
        <v>0</v>
      </c>
      <c r="L82" s="1117"/>
      <c r="M82" s="1119"/>
      <c r="N82" s="1119"/>
      <c r="O82" s="1078"/>
    </row>
    <row r="83" spans="1:15" s="1120" customFormat="1" ht="15" customHeight="1">
      <c r="A83" s="1078"/>
      <c r="B83" s="1111" t="s">
        <v>1988</v>
      </c>
      <c r="C83" s="1112" t="s">
        <v>123</v>
      </c>
      <c r="D83" s="1102">
        <v>27425070</v>
      </c>
      <c r="E83" s="1103">
        <f t="shared" si="0"/>
        <v>2742507</v>
      </c>
      <c r="F83" s="1129">
        <f t="shared" si="1"/>
        <v>30167577</v>
      </c>
      <c r="G83" s="1102">
        <v>27425070</v>
      </c>
      <c r="H83" s="1103">
        <f t="shared" si="2"/>
        <v>2742507</v>
      </c>
      <c r="I83" s="1130">
        <f t="shared" si="3"/>
        <v>30167577</v>
      </c>
      <c r="J83" s="1115" t="s">
        <v>2110</v>
      </c>
      <c r="K83" s="1116">
        <f t="shared" si="4"/>
        <v>0</v>
      </c>
      <c r="L83" s="1117"/>
      <c r="M83" s="1119"/>
      <c r="N83" s="1119"/>
      <c r="O83" s="1078"/>
    </row>
    <row r="84" spans="1:15" s="1120" customFormat="1" ht="15" customHeight="1">
      <c r="A84" s="1078"/>
      <c r="B84" s="1111" t="s">
        <v>141</v>
      </c>
      <c r="C84" s="1112" t="s">
        <v>122</v>
      </c>
      <c r="D84" s="1102">
        <v>3168100</v>
      </c>
      <c r="E84" s="1103">
        <f t="shared" ref="E84:E131" si="5">D84*10%</f>
        <v>316810</v>
      </c>
      <c r="F84" s="1129">
        <f t="shared" si="1"/>
        <v>3484910</v>
      </c>
      <c r="G84" s="1102">
        <v>3168100</v>
      </c>
      <c r="H84" s="1103">
        <f t="shared" ref="H84:H131" si="6">G84*10%</f>
        <v>316810</v>
      </c>
      <c r="I84" s="1130">
        <f t="shared" si="3"/>
        <v>3484910</v>
      </c>
      <c r="J84" s="1115" t="s">
        <v>2114</v>
      </c>
      <c r="K84" s="1116">
        <f t="shared" si="4"/>
        <v>0</v>
      </c>
      <c r="L84" s="1117"/>
      <c r="M84" s="1119"/>
      <c r="N84" s="1119"/>
      <c r="O84" s="1078"/>
    </row>
    <row r="85" spans="1:15" s="1120" customFormat="1" ht="15" customHeight="1">
      <c r="A85" s="1078"/>
      <c r="B85" s="1111" t="s">
        <v>141</v>
      </c>
      <c r="C85" s="1112" t="s">
        <v>123</v>
      </c>
      <c r="D85" s="1102">
        <v>1891800</v>
      </c>
      <c r="E85" s="1103">
        <f t="shared" si="5"/>
        <v>189180</v>
      </c>
      <c r="F85" s="1129">
        <f t="shared" si="1"/>
        <v>2080980</v>
      </c>
      <c r="G85" s="1102">
        <v>1891800</v>
      </c>
      <c r="H85" s="1103">
        <f t="shared" si="6"/>
        <v>189180</v>
      </c>
      <c r="I85" s="1130">
        <f t="shared" si="3"/>
        <v>2080980</v>
      </c>
      <c r="J85" s="1115" t="s">
        <v>2114</v>
      </c>
      <c r="K85" s="1116">
        <f t="shared" si="4"/>
        <v>0</v>
      </c>
      <c r="L85" s="1117"/>
      <c r="M85" s="1119"/>
      <c r="N85" s="1119"/>
      <c r="O85" s="1078"/>
    </row>
    <row r="86" spans="1:15" s="1120" customFormat="1" ht="15" customHeight="1">
      <c r="A86" s="1078"/>
      <c r="B86" s="1111" t="s">
        <v>129</v>
      </c>
      <c r="C86" s="1112" t="s">
        <v>122</v>
      </c>
      <c r="D86" s="1102">
        <v>60691300</v>
      </c>
      <c r="E86" s="1103">
        <f t="shared" si="5"/>
        <v>6069130</v>
      </c>
      <c r="F86" s="1129">
        <f t="shared" ref="F86:F133" si="7">SUM(D86:E86)</f>
        <v>66760430</v>
      </c>
      <c r="G86" s="1102">
        <v>60691300</v>
      </c>
      <c r="H86" s="1103">
        <f t="shared" si="6"/>
        <v>6069130</v>
      </c>
      <c r="I86" s="1130">
        <f t="shared" ref="I86:I131" si="8">SUM(G86:H86)</f>
        <v>66760430</v>
      </c>
      <c r="J86" s="1115" t="s">
        <v>2113</v>
      </c>
      <c r="K86" s="1116">
        <f t="shared" si="4"/>
        <v>0</v>
      </c>
      <c r="L86" s="1117"/>
      <c r="M86" s="1119"/>
      <c r="N86" s="1119"/>
      <c r="O86" s="1078"/>
    </row>
    <row r="87" spans="1:15" s="1120" customFormat="1" ht="15" customHeight="1">
      <c r="A87" s="1078"/>
      <c r="B87" s="1111" t="s">
        <v>129</v>
      </c>
      <c r="C87" s="1112" t="s">
        <v>123</v>
      </c>
      <c r="D87" s="1102">
        <v>33104300</v>
      </c>
      <c r="E87" s="1103">
        <f t="shared" si="5"/>
        <v>3310430</v>
      </c>
      <c r="F87" s="1129">
        <f t="shared" si="7"/>
        <v>36414730</v>
      </c>
      <c r="G87" s="1102">
        <v>33104300</v>
      </c>
      <c r="H87" s="1103">
        <f t="shared" si="6"/>
        <v>3310430</v>
      </c>
      <c r="I87" s="1130">
        <f t="shared" si="8"/>
        <v>36414730</v>
      </c>
      <c r="J87" s="1115" t="s">
        <v>2113</v>
      </c>
      <c r="K87" s="1116">
        <f t="shared" si="4"/>
        <v>0</v>
      </c>
      <c r="L87" s="1117"/>
      <c r="M87" s="1119"/>
      <c r="N87" s="1118"/>
      <c r="O87" s="1078"/>
    </row>
    <row r="88" spans="1:15" s="1120" customFormat="1" ht="15" customHeight="1">
      <c r="A88" s="1078"/>
      <c r="B88" s="1111" t="s">
        <v>126</v>
      </c>
      <c r="C88" s="1112" t="s">
        <v>122</v>
      </c>
      <c r="D88" s="1102">
        <v>0</v>
      </c>
      <c r="E88" s="1103">
        <f t="shared" si="5"/>
        <v>0</v>
      </c>
      <c r="F88" s="1129">
        <f t="shared" si="7"/>
        <v>0</v>
      </c>
      <c r="G88" s="1102">
        <v>0</v>
      </c>
      <c r="H88" s="1103">
        <f t="shared" si="6"/>
        <v>0</v>
      </c>
      <c r="I88" s="1130">
        <f t="shared" si="8"/>
        <v>0</v>
      </c>
      <c r="J88" s="1115" t="s">
        <v>2114</v>
      </c>
      <c r="K88" s="1116">
        <f t="shared" si="4"/>
        <v>0</v>
      </c>
      <c r="L88" s="1117"/>
      <c r="M88" s="1118"/>
      <c r="N88" s="1119"/>
      <c r="O88" s="1078"/>
    </row>
    <row r="89" spans="1:15" s="1120" customFormat="1" ht="15" customHeight="1">
      <c r="A89" s="1078"/>
      <c r="B89" s="1111" t="s">
        <v>126</v>
      </c>
      <c r="C89" s="1112" t="s">
        <v>123</v>
      </c>
      <c r="D89" s="1102">
        <v>5203000</v>
      </c>
      <c r="E89" s="1103">
        <f t="shared" si="5"/>
        <v>520300</v>
      </c>
      <c r="F89" s="1129">
        <f t="shared" si="7"/>
        <v>5723300</v>
      </c>
      <c r="G89" s="1102">
        <v>5203000</v>
      </c>
      <c r="H89" s="1103">
        <f t="shared" si="6"/>
        <v>520300</v>
      </c>
      <c r="I89" s="1130">
        <f t="shared" si="8"/>
        <v>5723300</v>
      </c>
      <c r="J89" s="1115" t="s">
        <v>2114</v>
      </c>
      <c r="K89" s="1116">
        <f t="shared" si="4"/>
        <v>0</v>
      </c>
      <c r="L89" s="1117"/>
      <c r="M89" s="1138"/>
      <c r="N89" s="1119"/>
      <c r="O89" s="1078"/>
    </row>
    <row r="90" spans="1:15" s="1120" customFormat="1" ht="15" customHeight="1">
      <c r="A90" s="1078"/>
      <c r="B90" s="1111" t="s">
        <v>126</v>
      </c>
      <c r="C90" s="1112" t="s">
        <v>122</v>
      </c>
      <c r="D90" s="1102">
        <v>0</v>
      </c>
      <c r="E90" s="1103">
        <f t="shared" si="5"/>
        <v>0</v>
      </c>
      <c r="F90" s="1129">
        <f t="shared" si="7"/>
        <v>0</v>
      </c>
      <c r="G90" s="1102">
        <v>0</v>
      </c>
      <c r="H90" s="1103">
        <f t="shared" si="6"/>
        <v>0</v>
      </c>
      <c r="I90" s="1130">
        <f t="shared" si="8"/>
        <v>0</v>
      </c>
      <c r="J90" s="1115" t="s">
        <v>2114</v>
      </c>
      <c r="K90" s="1116">
        <f t="shared" si="4"/>
        <v>0</v>
      </c>
      <c r="L90" s="1117"/>
      <c r="M90" s="1138"/>
      <c r="N90" s="1119"/>
      <c r="O90" s="1078"/>
    </row>
    <row r="91" spans="1:15" s="1120" customFormat="1" ht="15" customHeight="1">
      <c r="A91" s="1078"/>
      <c r="B91" s="1111" t="s">
        <v>126</v>
      </c>
      <c r="C91" s="1112" t="s">
        <v>123</v>
      </c>
      <c r="D91" s="1102">
        <v>4433600</v>
      </c>
      <c r="E91" s="1103">
        <f t="shared" si="5"/>
        <v>443360</v>
      </c>
      <c r="F91" s="1129">
        <f t="shared" si="7"/>
        <v>4876960</v>
      </c>
      <c r="G91" s="1102">
        <v>4433600</v>
      </c>
      <c r="H91" s="1103">
        <f t="shared" si="6"/>
        <v>443360</v>
      </c>
      <c r="I91" s="1130">
        <f t="shared" si="8"/>
        <v>4876960</v>
      </c>
      <c r="J91" s="1115" t="s">
        <v>2114</v>
      </c>
      <c r="K91" s="1116">
        <f t="shared" ref="K91:K131" si="9">F91-I91</f>
        <v>0</v>
      </c>
      <c r="L91" s="1117"/>
      <c r="M91" s="1138"/>
      <c r="N91" s="1119"/>
      <c r="O91" s="1078"/>
    </row>
    <row r="92" spans="1:15" s="1120" customFormat="1" ht="15" customHeight="1">
      <c r="A92" s="1078"/>
      <c r="B92" s="1111" t="s">
        <v>126</v>
      </c>
      <c r="C92" s="1112" t="s">
        <v>122</v>
      </c>
      <c r="D92" s="1102">
        <v>8954000</v>
      </c>
      <c r="E92" s="1103">
        <f t="shared" si="5"/>
        <v>895400</v>
      </c>
      <c r="F92" s="1129">
        <f t="shared" si="7"/>
        <v>9849400</v>
      </c>
      <c r="G92" s="1102">
        <v>8954000</v>
      </c>
      <c r="H92" s="1103">
        <f t="shared" si="6"/>
        <v>895400</v>
      </c>
      <c r="I92" s="1130">
        <f t="shared" si="8"/>
        <v>9849400</v>
      </c>
      <c r="J92" s="1115" t="s">
        <v>2114</v>
      </c>
      <c r="K92" s="1116">
        <f t="shared" si="9"/>
        <v>0</v>
      </c>
      <c r="L92" s="1117"/>
      <c r="M92" s="1138"/>
      <c r="N92" s="1119"/>
      <c r="O92" s="1078"/>
    </row>
    <row r="93" spans="1:15" s="1120" customFormat="1" ht="15" customHeight="1">
      <c r="A93" s="1078"/>
      <c r="B93" s="1111" t="s">
        <v>126</v>
      </c>
      <c r="C93" s="1112" t="s">
        <v>123</v>
      </c>
      <c r="D93" s="1102">
        <v>5179200</v>
      </c>
      <c r="E93" s="1103">
        <f t="shared" si="5"/>
        <v>517920</v>
      </c>
      <c r="F93" s="1129">
        <f t="shared" si="7"/>
        <v>5697120</v>
      </c>
      <c r="G93" s="1102">
        <v>5179200</v>
      </c>
      <c r="H93" s="1103">
        <f t="shared" si="6"/>
        <v>517920</v>
      </c>
      <c r="I93" s="1130">
        <f t="shared" si="8"/>
        <v>5697120</v>
      </c>
      <c r="J93" s="1115" t="s">
        <v>2114</v>
      </c>
      <c r="K93" s="1116">
        <f t="shared" si="9"/>
        <v>0</v>
      </c>
      <c r="L93" s="1117"/>
      <c r="M93" s="1138"/>
      <c r="N93" s="1119"/>
      <c r="O93" s="1078"/>
    </row>
    <row r="94" spans="1:15" s="1120" customFormat="1" ht="15" customHeight="1">
      <c r="A94" s="1078"/>
      <c r="B94" s="1111" t="s">
        <v>142</v>
      </c>
      <c r="C94" s="1112" t="s">
        <v>122</v>
      </c>
      <c r="D94" s="1139"/>
      <c r="E94" s="1103">
        <f t="shared" si="5"/>
        <v>0</v>
      </c>
      <c r="F94" s="1129">
        <f t="shared" si="7"/>
        <v>0</v>
      </c>
      <c r="G94" s="1139"/>
      <c r="H94" s="1103">
        <f t="shared" si="6"/>
        <v>0</v>
      </c>
      <c r="I94" s="1130">
        <f t="shared" si="8"/>
        <v>0</v>
      </c>
      <c r="J94" s="1115" t="s">
        <v>2110</v>
      </c>
      <c r="K94" s="1116">
        <f t="shared" si="9"/>
        <v>0</v>
      </c>
      <c r="L94" s="1117"/>
      <c r="M94" s="1118"/>
      <c r="N94" s="1119"/>
      <c r="O94" s="1078"/>
    </row>
    <row r="95" spans="1:15" s="1120" customFormat="1" ht="15" customHeight="1">
      <c r="A95" s="1078"/>
      <c r="B95" s="1111" t="s">
        <v>142</v>
      </c>
      <c r="C95" s="1112" t="s">
        <v>123</v>
      </c>
      <c r="D95" s="1102">
        <v>5205000</v>
      </c>
      <c r="E95" s="1103">
        <f t="shared" si="5"/>
        <v>520500</v>
      </c>
      <c r="F95" s="1129">
        <f t="shared" si="7"/>
        <v>5725500</v>
      </c>
      <c r="G95" s="1125">
        <v>5205000</v>
      </c>
      <c r="H95" s="1103">
        <f t="shared" si="6"/>
        <v>520500</v>
      </c>
      <c r="I95" s="1130">
        <f t="shared" si="8"/>
        <v>5725500</v>
      </c>
      <c r="J95" s="1115" t="s">
        <v>2110</v>
      </c>
      <c r="K95" s="1116">
        <f t="shared" si="9"/>
        <v>0</v>
      </c>
      <c r="L95" s="1117"/>
      <c r="M95" s="1118"/>
      <c r="N95" s="1119"/>
      <c r="O95" s="1078"/>
    </row>
    <row r="96" spans="1:15" s="1120" customFormat="1" ht="15" customHeight="1">
      <c r="A96" s="1078"/>
      <c r="B96" s="1111" t="s">
        <v>143</v>
      </c>
      <c r="C96" s="1112" t="s">
        <v>122</v>
      </c>
      <c r="D96" s="1102"/>
      <c r="E96" s="1103">
        <f t="shared" si="5"/>
        <v>0</v>
      </c>
      <c r="F96" s="1129">
        <f t="shared" si="7"/>
        <v>0</v>
      </c>
      <c r="G96" s="1125"/>
      <c r="H96" s="1103">
        <f t="shared" si="6"/>
        <v>0</v>
      </c>
      <c r="I96" s="1130">
        <f t="shared" si="8"/>
        <v>0</v>
      </c>
      <c r="J96" s="1115" t="s">
        <v>2110</v>
      </c>
      <c r="K96" s="1116">
        <f t="shared" si="9"/>
        <v>0</v>
      </c>
      <c r="L96" s="1117"/>
      <c r="M96" s="1119"/>
      <c r="N96" s="1119"/>
      <c r="O96" s="1078"/>
    </row>
    <row r="97" spans="1:15" s="1120" customFormat="1" ht="15" customHeight="1">
      <c r="A97" s="1078"/>
      <c r="B97" s="1111" t="s">
        <v>143</v>
      </c>
      <c r="C97" s="1112" t="s">
        <v>123</v>
      </c>
      <c r="D97" s="1102">
        <v>33651840</v>
      </c>
      <c r="E97" s="1103">
        <f t="shared" si="5"/>
        <v>3365184</v>
      </c>
      <c r="F97" s="1129">
        <f t="shared" si="7"/>
        <v>37017024</v>
      </c>
      <c r="G97" s="1125">
        <v>33651840</v>
      </c>
      <c r="H97" s="1103">
        <f t="shared" si="6"/>
        <v>3365184</v>
      </c>
      <c r="I97" s="1130">
        <f t="shared" si="8"/>
        <v>37017024</v>
      </c>
      <c r="J97" s="1115" t="s">
        <v>2110</v>
      </c>
      <c r="K97" s="1116">
        <f t="shared" si="9"/>
        <v>0</v>
      </c>
      <c r="L97" s="1117"/>
      <c r="M97" s="1119"/>
      <c r="N97" s="1119"/>
      <c r="O97" s="1078"/>
    </row>
    <row r="98" spans="1:15" s="1120" customFormat="1" ht="15" customHeight="1">
      <c r="A98" s="1078"/>
      <c r="B98" s="1111" t="s">
        <v>161</v>
      </c>
      <c r="C98" s="1112" t="s">
        <v>122</v>
      </c>
      <c r="D98" s="1102">
        <v>61644700</v>
      </c>
      <c r="E98" s="1103">
        <f t="shared" si="5"/>
        <v>6164470</v>
      </c>
      <c r="F98" s="1129">
        <f t="shared" si="7"/>
        <v>67809170</v>
      </c>
      <c r="G98" s="1125">
        <v>61644700</v>
      </c>
      <c r="H98" s="1103">
        <f t="shared" si="6"/>
        <v>6164470</v>
      </c>
      <c r="I98" s="1130">
        <f t="shared" si="8"/>
        <v>67809170</v>
      </c>
      <c r="J98" s="1115" t="s">
        <v>2110</v>
      </c>
      <c r="K98" s="1116">
        <f t="shared" si="9"/>
        <v>0</v>
      </c>
      <c r="L98" s="1117"/>
      <c r="M98" s="1119"/>
      <c r="N98" s="1119"/>
      <c r="O98" s="1078"/>
    </row>
    <row r="99" spans="1:15" s="1120" customFormat="1" ht="15" customHeight="1">
      <c r="A99" s="1078"/>
      <c r="B99" s="1111" t="s">
        <v>161</v>
      </c>
      <c r="C99" s="1112" t="s">
        <v>123</v>
      </c>
      <c r="D99" s="1102">
        <v>34662600</v>
      </c>
      <c r="E99" s="1103">
        <f t="shared" si="5"/>
        <v>3466260</v>
      </c>
      <c r="F99" s="1113">
        <f t="shared" si="7"/>
        <v>38128860</v>
      </c>
      <c r="G99" s="1125">
        <v>34662600</v>
      </c>
      <c r="H99" s="1103">
        <f t="shared" si="6"/>
        <v>3466260</v>
      </c>
      <c r="I99" s="1114">
        <f t="shared" si="8"/>
        <v>38128860</v>
      </c>
      <c r="J99" s="1115" t="s">
        <v>2110</v>
      </c>
      <c r="K99" s="1116">
        <f t="shared" si="9"/>
        <v>0</v>
      </c>
      <c r="L99" s="1117"/>
      <c r="M99" s="1119"/>
      <c r="N99" s="1119"/>
      <c r="O99" s="1078"/>
    </row>
    <row r="100" spans="1:15" s="1120" customFormat="1" ht="15" customHeight="1">
      <c r="A100" s="1078"/>
      <c r="B100" s="1111" t="s">
        <v>161</v>
      </c>
      <c r="C100" s="1140" t="s">
        <v>122</v>
      </c>
      <c r="D100" s="1102">
        <v>2272600</v>
      </c>
      <c r="E100" s="1103">
        <f t="shared" si="5"/>
        <v>227260</v>
      </c>
      <c r="F100" s="1113">
        <f t="shared" si="7"/>
        <v>2499860</v>
      </c>
      <c r="G100" s="1125">
        <v>2272600</v>
      </c>
      <c r="H100" s="1103">
        <f t="shared" si="6"/>
        <v>227260</v>
      </c>
      <c r="I100" s="1114">
        <f t="shared" si="8"/>
        <v>2499860</v>
      </c>
      <c r="J100" s="1115" t="s">
        <v>2110</v>
      </c>
      <c r="K100" s="1116">
        <f t="shared" si="9"/>
        <v>0</v>
      </c>
      <c r="L100" s="1117"/>
      <c r="M100" s="1119"/>
      <c r="N100" s="1119"/>
      <c r="O100" s="1078"/>
    </row>
    <row r="101" spans="1:15" s="1120" customFormat="1" ht="15" customHeight="1">
      <c r="A101" s="1078"/>
      <c r="B101" s="1111" t="s">
        <v>161</v>
      </c>
      <c r="C101" s="1140" t="s">
        <v>123</v>
      </c>
      <c r="D101" s="1102">
        <v>1246300</v>
      </c>
      <c r="E101" s="1103">
        <f t="shared" si="5"/>
        <v>124630</v>
      </c>
      <c r="F101" s="1113">
        <f t="shared" si="7"/>
        <v>1370930</v>
      </c>
      <c r="G101" s="1102">
        <v>1246300</v>
      </c>
      <c r="H101" s="1103">
        <f t="shared" si="6"/>
        <v>124630</v>
      </c>
      <c r="I101" s="1114">
        <f t="shared" si="8"/>
        <v>1370930</v>
      </c>
      <c r="J101" s="1115" t="s">
        <v>2110</v>
      </c>
      <c r="K101" s="1116">
        <f t="shared" si="9"/>
        <v>0</v>
      </c>
      <c r="L101" s="1117"/>
      <c r="M101" s="1119"/>
      <c r="N101" s="1119"/>
      <c r="O101" s="1078"/>
    </row>
    <row r="102" spans="1:15" s="1120" customFormat="1" ht="15" customHeight="1">
      <c r="A102" s="1078"/>
      <c r="B102" s="1111" t="s">
        <v>126</v>
      </c>
      <c r="C102" s="1140" t="s">
        <v>122</v>
      </c>
      <c r="D102" s="1102">
        <v>10222000</v>
      </c>
      <c r="E102" s="1103">
        <f t="shared" si="5"/>
        <v>1022200</v>
      </c>
      <c r="F102" s="1113">
        <f t="shared" si="7"/>
        <v>11244200</v>
      </c>
      <c r="G102" s="1102">
        <v>10222000</v>
      </c>
      <c r="H102" s="1103">
        <f t="shared" si="6"/>
        <v>1022200</v>
      </c>
      <c r="I102" s="1114">
        <f t="shared" si="8"/>
        <v>11244200</v>
      </c>
      <c r="J102" s="1115" t="s">
        <v>2114</v>
      </c>
      <c r="K102" s="1116">
        <f t="shared" si="9"/>
        <v>0</v>
      </c>
      <c r="L102" s="1117"/>
      <c r="M102" s="1119"/>
      <c r="N102" s="1119"/>
      <c r="O102" s="1078"/>
    </row>
    <row r="103" spans="1:15" s="1120" customFormat="1" ht="15" customHeight="1">
      <c r="A103" s="1078"/>
      <c r="B103" s="1111" t="s">
        <v>126</v>
      </c>
      <c r="C103" s="1141" t="s">
        <v>123</v>
      </c>
      <c r="D103" s="1102">
        <v>5575700</v>
      </c>
      <c r="E103" s="1103">
        <f t="shared" si="5"/>
        <v>557570</v>
      </c>
      <c r="F103" s="1113">
        <f t="shared" si="7"/>
        <v>6133270</v>
      </c>
      <c r="G103" s="1102">
        <v>5575700</v>
      </c>
      <c r="H103" s="1103">
        <f t="shared" si="6"/>
        <v>557570</v>
      </c>
      <c r="I103" s="1114">
        <f t="shared" si="8"/>
        <v>6133270</v>
      </c>
      <c r="J103" s="1115" t="s">
        <v>2114</v>
      </c>
      <c r="K103" s="1116">
        <f t="shared" si="9"/>
        <v>0</v>
      </c>
      <c r="L103" s="1117"/>
      <c r="M103" s="1119"/>
      <c r="N103" s="1119"/>
      <c r="O103" s="1078"/>
    </row>
    <row r="104" spans="1:15" s="1120" customFormat="1" ht="15" customHeight="1">
      <c r="A104" s="1078"/>
      <c r="B104" s="1111" t="s">
        <v>144</v>
      </c>
      <c r="C104" s="1142" t="s">
        <v>122</v>
      </c>
      <c r="D104" s="1102"/>
      <c r="E104" s="1103">
        <f t="shared" si="5"/>
        <v>0</v>
      </c>
      <c r="F104" s="1113">
        <f t="shared" si="7"/>
        <v>0</v>
      </c>
      <c r="G104" s="1102"/>
      <c r="H104" s="1103">
        <f t="shared" si="6"/>
        <v>0</v>
      </c>
      <c r="I104" s="1114">
        <f t="shared" si="8"/>
        <v>0</v>
      </c>
      <c r="J104" s="1115" t="s">
        <v>2114</v>
      </c>
      <c r="K104" s="1116">
        <f t="shared" si="9"/>
        <v>0</v>
      </c>
      <c r="L104" s="1117"/>
      <c r="M104" s="1119"/>
      <c r="N104" s="1119"/>
      <c r="O104" s="1078"/>
    </row>
    <row r="105" spans="1:15" s="1120" customFormat="1" ht="15" customHeight="1">
      <c r="A105" s="1078"/>
      <c r="B105" s="1111" t="s">
        <v>144</v>
      </c>
      <c r="C105" s="1140" t="s">
        <v>123</v>
      </c>
      <c r="D105" s="1102">
        <v>9319800</v>
      </c>
      <c r="E105" s="1103">
        <f t="shared" si="5"/>
        <v>931980</v>
      </c>
      <c r="F105" s="1113">
        <f t="shared" si="7"/>
        <v>10251780</v>
      </c>
      <c r="G105" s="1102">
        <v>9319800</v>
      </c>
      <c r="H105" s="1103">
        <f t="shared" si="6"/>
        <v>931980</v>
      </c>
      <c r="I105" s="1114">
        <f t="shared" si="8"/>
        <v>10251780</v>
      </c>
      <c r="J105" s="1115" t="s">
        <v>2114</v>
      </c>
      <c r="K105" s="1116">
        <f t="shared" si="9"/>
        <v>0</v>
      </c>
      <c r="L105" s="1117"/>
      <c r="M105" s="1119"/>
      <c r="N105" s="1119"/>
      <c r="O105" s="1078"/>
    </row>
    <row r="106" spans="1:15" s="1120" customFormat="1" ht="15" customHeight="1">
      <c r="A106" s="1078"/>
      <c r="B106" s="1111" t="s">
        <v>125</v>
      </c>
      <c r="C106" s="1140" t="s">
        <v>122</v>
      </c>
      <c r="D106" s="1102">
        <v>43850600</v>
      </c>
      <c r="E106" s="1103">
        <f t="shared" si="5"/>
        <v>4385060</v>
      </c>
      <c r="F106" s="1113">
        <f t="shared" si="7"/>
        <v>48235660</v>
      </c>
      <c r="G106" s="1102">
        <v>43850600</v>
      </c>
      <c r="H106" s="1103">
        <f t="shared" si="6"/>
        <v>4385060</v>
      </c>
      <c r="I106" s="1114">
        <f t="shared" si="8"/>
        <v>48235660</v>
      </c>
      <c r="J106" s="1115" t="s">
        <v>2112</v>
      </c>
      <c r="K106" s="1116">
        <f t="shared" si="9"/>
        <v>0</v>
      </c>
      <c r="L106" s="1117"/>
      <c r="M106" s="1119"/>
      <c r="N106" s="1119"/>
      <c r="O106" s="1078"/>
    </row>
    <row r="107" spans="1:15" s="1120" customFormat="1" ht="15" customHeight="1">
      <c r="A107" s="1078"/>
      <c r="B107" s="1111" t="s">
        <v>125</v>
      </c>
      <c r="C107" s="1140" t="s">
        <v>123</v>
      </c>
      <c r="D107" s="1102">
        <v>23918500</v>
      </c>
      <c r="E107" s="1103">
        <f t="shared" si="5"/>
        <v>2391850</v>
      </c>
      <c r="F107" s="1113">
        <f t="shared" si="7"/>
        <v>26310350</v>
      </c>
      <c r="G107" s="1102">
        <v>23918500</v>
      </c>
      <c r="H107" s="1103">
        <f t="shared" si="6"/>
        <v>2391850</v>
      </c>
      <c r="I107" s="1114">
        <f t="shared" si="8"/>
        <v>26310350</v>
      </c>
      <c r="J107" s="1115" t="s">
        <v>2112</v>
      </c>
      <c r="K107" s="1116">
        <f t="shared" si="9"/>
        <v>0</v>
      </c>
      <c r="L107" s="1117"/>
      <c r="M107" s="1119"/>
      <c r="N107" s="1119"/>
      <c r="O107" s="1078"/>
    </row>
    <row r="108" spans="1:15" s="1120" customFormat="1" ht="15" customHeight="1">
      <c r="A108" s="1078"/>
      <c r="B108" s="1111" t="s">
        <v>145</v>
      </c>
      <c r="C108" s="1140" t="s">
        <v>122</v>
      </c>
      <c r="D108" s="1102">
        <v>7267280</v>
      </c>
      <c r="E108" s="1103">
        <f t="shared" si="5"/>
        <v>726728</v>
      </c>
      <c r="F108" s="1113">
        <f t="shared" si="7"/>
        <v>7994008</v>
      </c>
      <c r="G108" s="1102">
        <v>7267280</v>
      </c>
      <c r="H108" s="1103">
        <f t="shared" si="6"/>
        <v>726728</v>
      </c>
      <c r="I108" s="1114">
        <f t="shared" si="8"/>
        <v>7994008</v>
      </c>
      <c r="J108" s="1115" t="s">
        <v>2114</v>
      </c>
      <c r="K108" s="1116">
        <f t="shared" si="9"/>
        <v>0</v>
      </c>
      <c r="L108" s="1117"/>
      <c r="M108" s="1119"/>
      <c r="N108" s="1119"/>
      <c r="O108" s="1078"/>
    </row>
    <row r="109" spans="1:15" s="1120" customFormat="1" ht="15" customHeight="1">
      <c r="A109" s="1078"/>
      <c r="B109" s="1111" t="s">
        <v>145</v>
      </c>
      <c r="C109" s="1141" t="s">
        <v>123</v>
      </c>
      <c r="D109" s="1102">
        <v>6306910</v>
      </c>
      <c r="E109" s="1103">
        <f t="shared" si="5"/>
        <v>630691</v>
      </c>
      <c r="F109" s="1113">
        <f t="shared" si="7"/>
        <v>6937601</v>
      </c>
      <c r="G109" s="1125">
        <v>6306910</v>
      </c>
      <c r="H109" s="1103">
        <f t="shared" si="6"/>
        <v>630691</v>
      </c>
      <c r="I109" s="1114">
        <f t="shared" si="8"/>
        <v>6937601</v>
      </c>
      <c r="J109" s="1115" t="s">
        <v>2114</v>
      </c>
      <c r="K109" s="1116">
        <f t="shared" si="9"/>
        <v>0</v>
      </c>
      <c r="L109" s="1117"/>
      <c r="M109" s="1119"/>
      <c r="N109" s="1119"/>
      <c r="O109" s="1078"/>
    </row>
    <row r="110" spans="1:15" s="1120" customFormat="1" ht="15" customHeight="1">
      <c r="A110" s="1078"/>
      <c r="B110" s="1111" t="s">
        <v>146</v>
      </c>
      <c r="C110" s="1142" t="s">
        <v>122</v>
      </c>
      <c r="D110" s="1102">
        <v>5519800</v>
      </c>
      <c r="E110" s="1103">
        <f t="shared" si="5"/>
        <v>551980</v>
      </c>
      <c r="F110" s="1113">
        <f t="shared" si="7"/>
        <v>6071780</v>
      </c>
      <c r="G110" s="1102">
        <v>5519800</v>
      </c>
      <c r="H110" s="1103">
        <f t="shared" si="6"/>
        <v>551980</v>
      </c>
      <c r="I110" s="1114">
        <f t="shared" si="8"/>
        <v>6071780</v>
      </c>
      <c r="J110" s="1115" t="s">
        <v>2110</v>
      </c>
      <c r="K110" s="1116">
        <f t="shared" si="9"/>
        <v>0</v>
      </c>
      <c r="L110" s="1117"/>
      <c r="M110" s="1119"/>
      <c r="N110" s="1119"/>
      <c r="O110" s="1078"/>
    </row>
    <row r="111" spans="1:15" s="1120" customFormat="1" ht="15" customHeight="1">
      <c r="A111" s="1078"/>
      <c r="B111" s="1111" t="s">
        <v>146</v>
      </c>
      <c r="C111" s="1140" t="s">
        <v>123</v>
      </c>
      <c r="D111" s="1102">
        <v>3289200</v>
      </c>
      <c r="E111" s="1103">
        <f t="shared" si="5"/>
        <v>328920</v>
      </c>
      <c r="F111" s="1113">
        <f t="shared" si="7"/>
        <v>3618120</v>
      </c>
      <c r="G111" s="1102">
        <v>3289200</v>
      </c>
      <c r="H111" s="1103">
        <f t="shared" si="6"/>
        <v>328920</v>
      </c>
      <c r="I111" s="1114">
        <f t="shared" si="8"/>
        <v>3618120</v>
      </c>
      <c r="J111" s="1115" t="s">
        <v>2110</v>
      </c>
      <c r="K111" s="1116">
        <f t="shared" si="9"/>
        <v>0</v>
      </c>
      <c r="L111" s="1124"/>
      <c r="M111" s="1124"/>
      <c r="N111" s="1119"/>
      <c r="O111" s="1078"/>
    </row>
    <row r="112" spans="1:15" s="1120" customFormat="1" ht="15" customHeight="1">
      <c r="A112" s="1078"/>
      <c r="B112" s="1111" t="s">
        <v>147</v>
      </c>
      <c r="C112" s="1112" t="s">
        <v>122</v>
      </c>
      <c r="D112" s="1102">
        <v>92586700</v>
      </c>
      <c r="E112" s="1103">
        <f t="shared" si="5"/>
        <v>9258670</v>
      </c>
      <c r="F112" s="1113">
        <f t="shared" si="7"/>
        <v>101845370</v>
      </c>
      <c r="G112" s="1102">
        <v>92586700</v>
      </c>
      <c r="H112" s="1103">
        <f t="shared" si="6"/>
        <v>9258670</v>
      </c>
      <c r="I112" s="1114">
        <f t="shared" si="8"/>
        <v>101845370</v>
      </c>
      <c r="J112" s="1115" t="s">
        <v>2110</v>
      </c>
      <c r="K112" s="1116">
        <f t="shared" si="9"/>
        <v>0</v>
      </c>
      <c r="L112" s="1124"/>
      <c r="M112" s="1124"/>
      <c r="N112" s="1119"/>
      <c r="O112" s="1078"/>
    </row>
    <row r="113" spans="1:15" s="1120" customFormat="1" ht="15" customHeight="1">
      <c r="A113" s="1078"/>
      <c r="B113" s="1111" t="s">
        <v>147</v>
      </c>
      <c r="C113" s="1112" t="s">
        <v>123</v>
      </c>
      <c r="D113" s="1102">
        <v>64785600</v>
      </c>
      <c r="E113" s="1103">
        <f t="shared" si="5"/>
        <v>6478560</v>
      </c>
      <c r="F113" s="1113">
        <f t="shared" si="7"/>
        <v>71264160</v>
      </c>
      <c r="G113" s="1102">
        <v>64785600</v>
      </c>
      <c r="H113" s="1103">
        <f t="shared" si="6"/>
        <v>6478560</v>
      </c>
      <c r="I113" s="1114">
        <f t="shared" si="8"/>
        <v>71264160</v>
      </c>
      <c r="J113" s="1115" t="s">
        <v>2110</v>
      </c>
      <c r="K113" s="1116">
        <f t="shared" si="9"/>
        <v>0</v>
      </c>
      <c r="L113" s="1117"/>
      <c r="M113" s="1119"/>
      <c r="N113" s="1119"/>
      <c r="O113" s="1078"/>
    </row>
    <row r="114" spans="1:15" s="1120" customFormat="1" ht="15" customHeight="1">
      <c r="A114" s="1078"/>
      <c r="B114" s="1111" t="s">
        <v>129</v>
      </c>
      <c r="C114" s="1112" t="s">
        <v>122</v>
      </c>
      <c r="D114" s="1102">
        <v>4704100</v>
      </c>
      <c r="E114" s="1103">
        <f t="shared" si="5"/>
        <v>470410</v>
      </c>
      <c r="F114" s="1113">
        <f t="shared" si="7"/>
        <v>5174510</v>
      </c>
      <c r="G114" s="1102">
        <v>4704100</v>
      </c>
      <c r="H114" s="1103">
        <f t="shared" si="6"/>
        <v>470410</v>
      </c>
      <c r="I114" s="1114">
        <f t="shared" si="8"/>
        <v>5174510</v>
      </c>
      <c r="J114" s="1115" t="s">
        <v>2113</v>
      </c>
      <c r="K114" s="1116">
        <f t="shared" si="9"/>
        <v>0</v>
      </c>
      <c r="L114" s="1117"/>
      <c r="M114" s="1119"/>
      <c r="N114" s="1119"/>
      <c r="O114" s="1078"/>
    </row>
    <row r="115" spans="1:15" s="1120" customFormat="1" ht="15" customHeight="1">
      <c r="A115" s="1078"/>
      <c r="B115" s="1111" t="s">
        <v>129</v>
      </c>
      <c r="C115" s="1112" t="s">
        <v>123</v>
      </c>
      <c r="D115" s="1102">
        <v>2565900</v>
      </c>
      <c r="E115" s="1103">
        <f t="shared" si="5"/>
        <v>256590</v>
      </c>
      <c r="F115" s="1113">
        <f t="shared" si="7"/>
        <v>2822490</v>
      </c>
      <c r="G115" s="1102">
        <v>2565900</v>
      </c>
      <c r="H115" s="1103">
        <f t="shared" si="6"/>
        <v>256590</v>
      </c>
      <c r="I115" s="1114">
        <f t="shared" si="8"/>
        <v>2822490</v>
      </c>
      <c r="J115" s="1115" t="s">
        <v>2113</v>
      </c>
      <c r="K115" s="1116">
        <f t="shared" si="9"/>
        <v>0</v>
      </c>
      <c r="L115" s="1117"/>
      <c r="M115" s="1119"/>
      <c r="N115" s="1119"/>
      <c r="O115" s="1078"/>
    </row>
    <row r="116" spans="1:15" s="1120" customFormat="1" ht="15" customHeight="1">
      <c r="A116" s="1078"/>
      <c r="B116" s="1111" t="s">
        <v>139</v>
      </c>
      <c r="C116" s="1112" t="s">
        <v>122</v>
      </c>
      <c r="D116" s="1102">
        <v>11325000</v>
      </c>
      <c r="E116" s="1103">
        <f t="shared" si="5"/>
        <v>1132500</v>
      </c>
      <c r="F116" s="1113">
        <f t="shared" si="7"/>
        <v>12457500</v>
      </c>
      <c r="G116" s="1102">
        <v>11325000</v>
      </c>
      <c r="H116" s="1103">
        <f t="shared" si="6"/>
        <v>1132500</v>
      </c>
      <c r="I116" s="1114">
        <f t="shared" si="8"/>
        <v>12457500</v>
      </c>
      <c r="J116" s="1115" t="s">
        <v>2110</v>
      </c>
      <c r="K116" s="1116">
        <f t="shared" si="9"/>
        <v>0</v>
      </c>
      <c r="L116" s="1118"/>
      <c r="M116" s="1118"/>
      <c r="N116" s="1119"/>
      <c r="O116" s="1078"/>
    </row>
    <row r="117" spans="1:15" s="1120" customFormat="1" ht="15" customHeight="1">
      <c r="A117" s="1078"/>
      <c r="B117" s="1111" t="s">
        <v>139</v>
      </c>
      <c r="C117" s="1126" t="s">
        <v>123</v>
      </c>
      <c r="D117" s="1102">
        <v>6988000</v>
      </c>
      <c r="E117" s="1103">
        <f t="shared" si="5"/>
        <v>698800</v>
      </c>
      <c r="F117" s="1129">
        <f t="shared" si="7"/>
        <v>7686800</v>
      </c>
      <c r="G117" s="1102">
        <v>6988000</v>
      </c>
      <c r="H117" s="1103">
        <f t="shared" si="6"/>
        <v>698800</v>
      </c>
      <c r="I117" s="1130">
        <f t="shared" si="8"/>
        <v>7686800</v>
      </c>
      <c r="J117" s="1115" t="s">
        <v>2110</v>
      </c>
      <c r="K117" s="1116">
        <f t="shared" si="9"/>
        <v>0</v>
      </c>
      <c r="L117" s="1118"/>
      <c r="M117" s="1118"/>
      <c r="N117" s="1119"/>
      <c r="O117" s="1078"/>
    </row>
    <row r="118" spans="1:15" s="1120" customFormat="1" ht="15" customHeight="1">
      <c r="A118" s="1078"/>
      <c r="B118" s="1111" t="s">
        <v>148</v>
      </c>
      <c r="C118" s="1112" t="s">
        <v>122</v>
      </c>
      <c r="D118" s="1102">
        <v>15731400</v>
      </c>
      <c r="E118" s="1103">
        <f t="shared" si="5"/>
        <v>1573140</v>
      </c>
      <c r="F118" s="1129">
        <f t="shared" si="7"/>
        <v>17304540</v>
      </c>
      <c r="G118" s="1102">
        <v>15731400</v>
      </c>
      <c r="H118" s="1103">
        <f t="shared" si="6"/>
        <v>1573140</v>
      </c>
      <c r="I118" s="1130">
        <f t="shared" si="8"/>
        <v>17304540</v>
      </c>
      <c r="J118" s="1115" t="s">
        <v>2110</v>
      </c>
      <c r="K118" s="1116">
        <f t="shared" si="9"/>
        <v>0</v>
      </c>
      <c r="L118" s="1119"/>
      <c r="M118" s="1119"/>
      <c r="N118" s="1119"/>
      <c r="O118" s="1078"/>
    </row>
    <row r="119" spans="1:15" s="1120" customFormat="1" ht="15" customHeight="1">
      <c r="A119" s="1078"/>
      <c r="B119" s="1111" t="s">
        <v>148</v>
      </c>
      <c r="C119" s="1112" t="s">
        <v>123</v>
      </c>
      <c r="D119" s="1102">
        <v>9167200</v>
      </c>
      <c r="E119" s="1103">
        <f t="shared" si="5"/>
        <v>916720</v>
      </c>
      <c r="F119" s="1129">
        <f t="shared" si="7"/>
        <v>10083920</v>
      </c>
      <c r="G119" s="1102">
        <v>9167200</v>
      </c>
      <c r="H119" s="1103">
        <f t="shared" si="6"/>
        <v>916720</v>
      </c>
      <c r="I119" s="1130">
        <f t="shared" si="8"/>
        <v>10083920</v>
      </c>
      <c r="J119" s="1115" t="s">
        <v>2110</v>
      </c>
      <c r="K119" s="1116">
        <f t="shared" si="9"/>
        <v>0</v>
      </c>
      <c r="L119" s="1119"/>
      <c r="M119" s="1119"/>
      <c r="N119" s="1119"/>
      <c r="O119" s="1078"/>
    </row>
    <row r="120" spans="1:15" s="1120" customFormat="1" ht="15" customHeight="1">
      <c r="A120" s="1078"/>
      <c r="B120" s="1111"/>
      <c r="C120" s="1112" t="s">
        <v>122</v>
      </c>
      <c r="D120" s="1102"/>
      <c r="E120" s="1103">
        <f t="shared" si="5"/>
        <v>0</v>
      </c>
      <c r="F120" s="1129">
        <f>SUM(D120:E120)</f>
        <v>0</v>
      </c>
      <c r="G120" s="1102"/>
      <c r="H120" s="1103">
        <f t="shared" si="6"/>
        <v>0</v>
      </c>
      <c r="I120" s="1130">
        <f t="shared" si="8"/>
        <v>0</v>
      </c>
      <c r="J120" s="1115"/>
      <c r="K120" s="1116">
        <f t="shared" si="9"/>
        <v>0</v>
      </c>
      <c r="L120" s="1119"/>
      <c r="M120" s="1119"/>
      <c r="N120" s="1119"/>
      <c r="O120" s="1078"/>
    </row>
    <row r="121" spans="1:15" s="1120" customFormat="1" ht="15" customHeight="1">
      <c r="A121" s="1078"/>
      <c r="B121" s="1111"/>
      <c r="C121" s="1112" t="s">
        <v>123</v>
      </c>
      <c r="D121" s="1102"/>
      <c r="E121" s="1103">
        <f t="shared" si="5"/>
        <v>0</v>
      </c>
      <c r="F121" s="1129">
        <f t="shared" si="7"/>
        <v>0</v>
      </c>
      <c r="G121" s="1102"/>
      <c r="H121" s="1103">
        <f t="shared" si="6"/>
        <v>0</v>
      </c>
      <c r="I121" s="1130">
        <f t="shared" si="8"/>
        <v>0</v>
      </c>
      <c r="J121" s="1115"/>
      <c r="K121" s="1116">
        <f t="shared" si="9"/>
        <v>0</v>
      </c>
      <c r="L121" s="1119"/>
      <c r="M121" s="1119"/>
      <c r="N121" s="1119"/>
      <c r="O121" s="1078"/>
    </row>
    <row r="122" spans="1:15" s="1120" customFormat="1" ht="15" customHeight="1">
      <c r="A122" s="1078"/>
      <c r="B122" s="1111" t="s">
        <v>1996</v>
      </c>
      <c r="C122" s="1112" t="s">
        <v>122</v>
      </c>
      <c r="D122" s="1102">
        <v>12940600</v>
      </c>
      <c r="E122" s="1103">
        <f t="shared" si="5"/>
        <v>1294060</v>
      </c>
      <c r="F122" s="1129">
        <f t="shared" si="7"/>
        <v>14234660</v>
      </c>
      <c r="G122" s="1102">
        <v>12940600</v>
      </c>
      <c r="H122" s="1103">
        <f t="shared" si="6"/>
        <v>1294060</v>
      </c>
      <c r="I122" s="1130">
        <f t="shared" si="8"/>
        <v>14234660</v>
      </c>
      <c r="J122" s="1115" t="s">
        <v>2110</v>
      </c>
      <c r="K122" s="1116">
        <f t="shared" si="9"/>
        <v>0</v>
      </c>
      <c r="L122" s="1119"/>
      <c r="M122" s="1119"/>
      <c r="N122" s="1119"/>
      <c r="O122" s="1078"/>
    </row>
    <row r="123" spans="1:15" s="1120" customFormat="1" ht="15" customHeight="1">
      <c r="A123" s="1078"/>
      <c r="B123" s="1111" t="s">
        <v>1996</v>
      </c>
      <c r="C123" s="1112" t="s">
        <v>123</v>
      </c>
      <c r="D123" s="1102">
        <v>7321300</v>
      </c>
      <c r="E123" s="1103">
        <f t="shared" si="5"/>
        <v>732130</v>
      </c>
      <c r="F123" s="1129">
        <f t="shared" si="7"/>
        <v>8053430</v>
      </c>
      <c r="G123" s="1102">
        <v>7321300</v>
      </c>
      <c r="H123" s="1103">
        <f t="shared" si="6"/>
        <v>732130</v>
      </c>
      <c r="I123" s="1130">
        <f t="shared" si="8"/>
        <v>8053430</v>
      </c>
      <c r="J123" s="1115" t="s">
        <v>2110</v>
      </c>
      <c r="K123" s="1116">
        <f t="shared" si="9"/>
        <v>0</v>
      </c>
      <c r="L123" s="1119"/>
      <c r="M123" s="1119"/>
      <c r="N123" s="1119"/>
      <c r="O123" s="1078"/>
    </row>
    <row r="124" spans="1:15" s="1120" customFormat="1" ht="15" customHeight="1">
      <c r="A124" s="1078"/>
      <c r="B124" s="1111" t="s">
        <v>138</v>
      </c>
      <c r="C124" s="1112" t="s">
        <v>122</v>
      </c>
      <c r="D124" s="1102">
        <v>6405600</v>
      </c>
      <c r="E124" s="1103">
        <f t="shared" si="5"/>
        <v>640560</v>
      </c>
      <c r="F124" s="1129">
        <f t="shared" si="7"/>
        <v>7046160</v>
      </c>
      <c r="G124" s="1102">
        <v>6405600</v>
      </c>
      <c r="H124" s="1103">
        <f t="shared" si="6"/>
        <v>640560</v>
      </c>
      <c r="I124" s="1130">
        <f t="shared" si="8"/>
        <v>7046160</v>
      </c>
      <c r="J124" s="1115" t="s">
        <v>2116</v>
      </c>
      <c r="K124" s="1116">
        <f t="shared" si="9"/>
        <v>0</v>
      </c>
      <c r="L124" s="1119"/>
      <c r="M124" s="1119"/>
      <c r="N124" s="1119"/>
      <c r="O124" s="1078"/>
    </row>
    <row r="125" spans="1:15" s="1120" customFormat="1" ht="15" customHeight="1">
      <c r="A125" s="1078"/>
      <c r="B125" s="1111" t="s">
        <v>138</v>
      </c>
      <c r="C125" s="1112" t="s">
        <v>123</v>
      </c>
      <c r="D125" s="1102">
        <v>3764000</v>
      </c>
      <c r="E125" s="1103">
        <f t="shared" si="5"/>
        <v>376400</v>
      </c>
      <c r="F125" s="1129">
        <f t="shared" si="7"/>
        <v>4140400</v>
      </c>
      <c r="G125" s="1102">
        <v>3764000</v>
      </c>
      <c r="H125" s="1103">
        <f t="shared" si="6"/>
        <v>376400</v>
      </c>
      <c r="I125" s="1130">
        <f t="shared" si="8"/>
        <v>4140400</v>
      </c>
      <c r="J125" s="1115" t="s">
        <v>2116</v>
      </c>
      <c r="K125" s="1116">
        <f t="shared" si="9"/>
        <v>0</v>
      </c>
      <c r="L125" s="1119"/>
      <c r="M125" s="1119"/>
      <c r="N125" s="1119"/>
      <c r="O125" s="1078"/>
    </row>
    <row r="126" spans="1:15" s="1120" customFormat="1" ht="15" customHeight="1">
      <c r="A126" s="1078"/>
      <c r="B126" s="1111" t="s">
        <v>126</v>
      </c>
      <c r="C126" s="1112" t="s">
        <v>122</v>
      </c>
      <c r="D126" s="1102">
        <v>4990800</v>
      </c>
      <c r="E126" s="1103">
        <f t="shared" si="5"/>
        <v>499080</v>
      </c>
      <c r="F126" s="1129">
        <f t="shared" si="7"/>
        <v>5489880</v>
      </c>
      <c r="G126" s="1102">
        <v>4990800</v>
      </c>
      <c r="H126" s="1103">
        <f t="shared" si="6"/>
        <v>499080</v>
      </c>
      <c r="I126" s="1130">
        <f t="shared" si="8"/>
        <v>5489880</v>
      </c>
      <c r="J126" s="1115" t="s">
        <v>2114</v>
      </c>
      <c r="K126" s="1116">
        <f t="shared" si="9"/>
        <v>0</v>
      </c>
      <c r="L126" s="1119"/>
      <c r="M126" s="1119"/>
      <c r="N126" s="1119"/>
      <c r="O126" s="1078"/>
    </row>
    <row r="127" spans="1:15" s="1120" customFormat="1" ht="15" customHeight="1">
      <c r="A127" s="1078"/>
      <c r="B127" s="1143" t="s">
        <v>126</v>
      </c>
      <c r="C127" s="1112" t="s">
        <v>123</v>
      </c>
      <c r="D127" s="1102">
        <v>2916600</v>
      </c>
      <c r="E127" s="1103">
        <f t="shared" si="5"/>
        <v>291660</v>
      </c>
      <c r="F127" s="1113">
        <f t="shared" si="7"/>
        <v>3208260</v>
      </c>
      <c r="G127" s="1102">
        <v>2916600</v>
      </c>
      <c r="H127" s="1103">
        <f t="shared" si="6"/>
        <v>291660</v>
      </c>
      <c r="I127" s="1114">
        <f t="shared" si="8"/>
        <v>3208260</v>
      </c>
      <c r="J127" s="1115" t="s">
        <v>2114</v>
      </c>
      <c r="K127" s="1116">
        <f t="shared" si="9"/>
        <v>0</v>
      </c>
      <c r="L127" s="1119"/>
      <c r="M127" s="1119"/>
      <c r="N127" s="1119"/>
      <c r="O127" s="1078"/>
    </row>
    <row r="128" spans="1:15" s="1120" customFormat="1" ht="15" customHeight="1">
      <c r="A128" s="1078"/>
      <c r="B128" s="1143" t="s">
        <v>138</v>
      </c>
      <c r="C128" s="1112" t="s">
        <v>122</v>
      </c>
      <c r="D128" s="1102">
        <v>106159300</v>
      </c>
      <c r="E128" s="1103">
        <f t="shared" si="5"/>
        <v>10615930</v>
      </c>
      <c r="F128" s="1113">
        <f t="shared" si="7"/>
        <v>116775230</v>
      </c>
      <c r="G128" s="1102">
        <v>106159300</v>
      </c>
      <c r="H128" s="1103">
        <f t="shared" si="6"/>
        <v>10615930</v>
      </c>
      <c r="I128" s="1114">
        <f t="shared" si="8"/>
        <v>116775230</v>
      </c>
      <c r="J128" s="1115" t="s">
        <v>2116</v>
      </c>
      <c r="K128" s="1116">
        <f t="shared" si="9"/>
        <v>0</v>
      </c>
      <c r="L128" s="1119"/>
      <c r="M128" s="1119"/>
      <c r="N128" s="1119"/>
      <c r="O128" s="1078"/>
    </row>
    <row r="129" spans="1:16" s="1120" customFormat="1" ht="15" customHeight="1">
      <c r="A129" s="1078"/>
      <c r="B129" s="1111" t="s">
        <v>138</v>
      </c>
      <c r="C129" s="1112" t="s">
        <v>123</v>
      </c>
      <c r="D129" s="1102">
        <v>62429300</v>
      </c>
      <c r="E129" s="1103">
        <f t="shared" si="5"/>
        <v>6242930</v>
      </c>
      <c r="F129" s="1113">
        <f t="shared" si="7"/>
        <v>68672230</v>
      </c>
      <c r="G129" s="1102">
        <v>62429300</v>
      </c>
      <c r="H129" s="1103">
        <f t="shared" si="6"/>
        <v>6242930</v>
      </c>
      <c r="I129" s="1114">
        <f t="shared" si="8"/>
        <v>68672230</v>
      </c>
      <c r="J129" s="1115" t="s">
        <v>2116</v>
      </c>
      <c r="K129" s="1116">
        <f t="shared" si="9"/>
        <v>0</v>
      </c>
      <c r="L129" s="1119"/>
      <c r="M129" s="1119"/>
      <c r="N129" s="1119"/>
      <c r="O129" s="1078"/>
    </row>
    <row r="130" spans="1:16" ht="15" customHeight="1">
      <c r="B130" s="1111" t="s">
        <v>149</v>
      </c>
      <c r="C130" s="1112" t="s">
        <v>122</v>
      </c>
      <c r="D130" s="1102"/>
      <c r="E130" s="1103">
        <f t="shared" si="5"/>
        <v>0</v>
      </c>
      <c r="F130" s="1113">
        <f t="shared" si="7"/>
        <v>0</v>
      </c>
      <c r="G130" s="1102"/>
      <c r="H130" s="1103">
        <f t="shared" si="6"/>
        <v>0</v>
      </c>
      <c r="I130" s="1114">
        <f t="shared" si="8"/>
        <v>0</v>
      </c>
      <c r="J130" s="1115" t="s">
        <v>2116</v>
      </c>
      <c r="K130" s="1116">
        <f t="shared" si="9"/>
        <v>0</v>
      </c>
      <c r="L130" s="1119"/>
      <c r="M130" s="1119"/>
      <c r="N130" s="1119"/>
    </row>
    <row r="131" spans="1:16" ht="15" customHeight="1" thickBot="1">
      <c r="B131" s="1111" t="s">
        <v>149</v>
      </c>
      <c r="C131" s="1112" t="s">
        <v>123</v>
      </c>
      <c r="D131" s="1102">
        <v>136099600</v>
      </c>
      <c r="E131" s="1103">
        <f t="shared" si="5"/>
        <v>13609960</v>
      </c>
      <c r="F131" s="1113">
        <f t="shared" si="7"/>
        <v>149709560</v>
      </c>
      <c r="G131" s="1102">
        <v>136099600</v>
      </c>
      <c r="H131" s="1103">
        <f t="shared" si="6"/>
        <v>13609960</v>
      </c>
      <c r="I131" s="1114">
        <f t="shared" si="8"/>
        <v>149709560</v>
      </c>
      <c r="J131" s="1115" t="s">
        <v>2116</v>
      </c>
      <c r="K131" s="1116">
        <f t="shared" si="9"/>
        <v>0</v>
      </c>
      <c r="L131" s="1118"/>
      <c r="M131" s="1118"/>
      <c r="N131" s="1119"/>
    </row>
    <row r="132" spans="1:16" ht="15" customHeight="1">
      <c r="B132" s="2698" t="s">
        <v>657</v>
      </c>
      <c r="C132" s="1144" t="s">
        <v>150</v>
      </c>
      <c r="D132" s="1145">
        <f>SUMIF($C$12:$C$131,"임대료",D12:D131)</f>
        <v>1177965381</v>
      </c>
      <c r="E132" s="1145">
        <f>SUMIF($C$12:$C$131,"임대료",E12:E131)</f>
        <v>117796538.09999999</v>
      </c>
      <c r="F132" s="1146">
        <f>SUM(D132:E132)</f>
        <v>1295761919.0999999</v>
      </c>
      <c r="G132" s="1147">
        <f>SUMIF(C12:C131,"임대료",G12:G131)</f>
        <v>1177965381</v>
      </c>
      <c r="H132" s="1148">
        <f>SUMIF(C12:C131,"임대료",H12:H131)</f>
        <v>117796538.09999999</v>
      </c>
      <c r="I132" s="1235">
        <f>G132+H132</f>
        <v>1295761919.0999999</v>
      </c>
      <c r="J132" s="1149">
        <f>+D132-G132</f>
        <v>0</v>
      </c>
      <c r="K132" s="1150">
        <f>F132-I132</f>
        <v>0</v>
      </c>
      <c r="L132" s="1150"/>
      <c r="M132" s="1151">
        <f>SUM(M12:M131)</f>
        <v>0</v>
      </c>
      <c r="N132" s="1150"/>
    </row>
    <row r="133" spans="1:16" ht="15" customHeight="1">
      <c r="B133" s="2699"/>
      <c r="C133" s="1152" t="s">
        <v>151</v>
      </c>
      <c r="D133" s="1153">
        <f>SUMIF($C$12:$C$131,"관리비",D12:D131)</f>
        <v>928582470.48387098</v>
      </c>
      <c r="E133" s="1153">
        <f>SUMIF($C$12:$C$131,"관리비",E12:E131)</f>
        <v>92858247.048387095</v>
      </c>
      <c r="F133" s="1154">
        <f t="shared" si="7"/>
        <v>1021440717.532258</v>
      </c>
      <c r="G133" s="1155">
        <f>SUMIF(C12:C131,"관리비",G12:G131)</f>
        <v>928582470.48387098</v>
      </c>
      <c r="H133" s="1156">
        <f>SUMIF(C12:C131,"관리비",H12:H131)</f>
        <v>92858247.048387095</v>
      </c>
      <c r="I133" s="1161">
        <f>G133+H133</f>
        <v>1021440717.532258</v>
      </c>
      <c r="J133" s="1157"/>
      <c r="K133" s="1158">
        <f>F133-I133</f>
        <v>0</v>
      </c>
      <c r="L133" s="1158"/>
      <c r="M133" s="1159"/>
      <c r="N133" s="1158"/>
    </row>
    <row r="134" spans="1:16" ht="15" customHeight="1">
      <c r="B134" s="2700"/>
      <c r="C134" s="1160" t="s">
        <v>658</v>
      </c>
      <c r="D134" s="1161">
        <f>SUM(D132:D133)</f>
        <v>2106547851.483871</v>
      </c>
      <c r="E134" s="1161">
        <f>SUM(E132:E133)</f>
        <v>210654785.14838707</v>
      </c>
      <c r="F134" s="1162">
        <f>SUM(F132:F133)</f>
        <v>2317202636.6322579</v>
      </c>
      <c r="G134" s="1155">
        <f>SUM(G132:G133)</f>
        <v>2106547851.483871</v>
      </c>
      <c r="H134" s="1156">
        <f>SUM(H132:H133)</f>
        <v>210654785.14838707</v>
      </c>
      <c r="I134" s="1161">
        <f>G134+H134</f>
        <v>2317202636.6322579</v>
      </c>
      <c r="J134" s="1157"/>
      <c r="K134" s="1158">
        <f>F134-I134</f>
        <v>0</v>
      </c>
      <c r="L134" s="1158"/>
      <c r="M134" s="1158"/>
      <c r="N134" s="1163"/>
    </row>
    <row r="135" spans="1:16" ht="15" customHeight="1" thickBot="1">
      <c r="B135" s="1164" t="s">
        <v>2119</v>
      </c>
      <c r="C135" s="1165"/>
      <c r="D135" s="1166"/>
      <c r="E135" s="1166"/>
      <c r="F135" s="1166"/>
      <c r="G135" s="1167"/>
      <c r="I135" s="1168"/>
      <c r="J135" s="1168"/>
      <c r="K135" s="1082" t="s">
        <v>639</v>
      </c>
      <c r="L135" s="1169"/>
      <c r="M135" s="1169"/>
      <c r="N135" s="1170"/>
    </row>
    <row r="136" spans="1:16" ht="15" customHeight="1">
      <c r="B136" s="2701" t="s">
        <v>152</v>
      </c>
      <c r="C136" s="2702"/>
      <c r="D136" s="1171">
        <v>202406</v>
      </c>
      <c r="E136" s="1086">
        <v>202407</v>
      </c>
      <c r="F136" s="1172" t="s">
        <v>118</v>
      </c>
      <c r="G136" s="1173" t="s">
        <v>119</v>
      </c>
      <c r="H136" s="1174" t="s">
        <v>120</v>
      </c>
      <c r="I136" s="2703" t="s">
        <v>641</v>
      </c>
      <c r="J136" s="2704"/>
      <c r="K136" s="2705"/>
    </row>
    <row r="137" spans="1:16" ht="18" customHeight="1">
      <c r="B137" s="2747" t="s">
        <v>659</v>
      </c>
      <c r="C137" s="2748"/>
      <c r="D137" s="1175">
        <f>32013999+2670000</f>
        <v>34683999</v>
      </c>
      <c r="E137" s="1091">
        <f>D307+C314</f>
        <v>50297883</v>
      </c>
      <c r="F137" s="1176">
        <f>IF(E137-D137=0,"-",E137-D137)</f>
        <v>15613884</v>
      </c>
      <c r="G137" s="1177">
        <v>46035539.033818379</v>
      </c>
      <c r="H137" s="1178">
        <f>IF(E137-G137=0,"-",E137-G137)</f>
        <v>4262343.966181621</v>
      </c>
      <c r="I137" s="2735" t="s">
        <v>2128</v>
      </c>
      <c r="J137" s="2736"/>
      <c r="K137" s="2737"/>
      <c r="P137" s="1078" t="s">
        <v>1684</v>
      </c>
    </row>
    <row r="138" spans="1:16" ht="20.25" customHeight="1">
      <c r="B138" s="2745" t="s">
        <v>153</v>
      </c>
      <c r="C138" s="2746"/>
      <c r="D138" s="1179">
        <f>D137</f>
        <v>34683999</v>
      </c>
      <c r="E138" s="1180">
        <f>E137</f>
        <v>50297883</v>
      </c>
      <c r="F138" s="1181">
        <f>IF(E138-D138=0,"-",E138-D138)</f>
        <v>15613884</v>
      </c>
      <c r="G138" s="1182">
        <f>SUM(G137:G137)</f>
        <v>46035539.033818379</v>
      </c>
      <c r="H138" s="1183">
        <f>IF(E138-G138=0,"-",E138-G138)</f>
        <v>4262343.966181621</v>
      </c>
      <c r="I138" s="2738"/>
      <c r="J138" s="2739"/>
      <c r="K138" s="2740"/>
      <c r="N138" s="1082" t="s">
        <v>660</v>
      </c>
    </row>
    <row r="139" spans="1:16" ht="20.25" customHeight="1">
      <c r="B139" s="2676" t="s">
        <v>614</v>
      </c>
      <c r="C139" s="2679" t="s">
        <v>646</v>
      </c>
      <c r="D139" s="2682" t="s">
        <v>647</v>
      </c>
      <c r="E139" s="2683"/>
      <c r="F139" s="2684"/>
      <c r="G139" s="2685" t="s">
        <v>648</v>
      </c>
      <c r="H139" s="2686"/>
      <c r="I139" s="2686"/>
      <c r="J139" s="2687"/>
      <c r="K139" s="2688" t="s">
        <v>661</v>
      </c>
      <c r="L139" s="2690" t="s">
        <v>650</v>
      </c>
      <c r="M139" s="2691"/>
      <c r="N139" s="2692"/>
    </row>
    <row r="140" spans="1:16" ht="20.25" customHeight="1">
      <c r="B140" s="2677"/>
      <c r="C140" s="2680"/>
      <c r="D140" s="2660" t="s">
        <v>651</v>
      </c>
      <c r="E140" s="2660" t="s">
        <v>506</v>
      </c>
      <c r="F140" s="2693" t="s">
        <v>652</v>
      </c>
      <c r="G140" s="2695" t="s">
        <v>651</v>
      </c>
      <c r="H140" s="2660" t="s">
        <v>506</v>
      </c>
      <c r="I140" s="2660" t="s">
        <v>653</v>
      </c>
      <c r="J140" s="2660" t="s">
        <v>654</v>
      </c>
      <c r="K140" s="2689"/>
      <c r="L140" s="2663" t="s">
        <v>655</v>
      </c>
      <c r="M140" s="2660" t="s">
        <v>632</v>
      </c>
      <c r="N140" s="2662" t="s">
        <v>654</v>
      </c>
    </row>
    <row r="141" spans="1:16" ht="23.25" customHeight="1">
      <c r="B141" s="2678"/>
      <c r="C141" s="2681"/>
      <c r="D141" s="2661"/>
      <c r="E141" s="2661"/>
      <c r="F141" s="2694"/>
      <c r="G141" s="2696"/>
      <c r="H141" s="2661"/>
      <c r="I141" s="2661"/>
      <c r="J141" s="2661"/>
      <c r="K141" s="2664"/>
      <c r="L141" s="2664"/>
      <c r="M141" s="2661"/>
      <c r="N141" s="2661"/>
    </row>
    <row r="142" spans="1:16" ht="23.25" customHeight="1">
      <c r="B142" s="1184" t="s">
        <v>154</v>
      </c>
      <c r="C142" s="1185" t="s">
        <v>155</v>
      </c>
      <c r="D142" s="1186">
        <v>101350</v>
      </c>
      <c r="E142" s="1186">
        <v>10135</v>
      </c>
      <c r="F142" s="1187">
        <v>111485</v>
      </c>
      <c r="G142" s="1188">
        <v>101350</v>
      </c>
      <c r="H142" s="1189">
        <v>10135</v>
      </c>
      <c r="I142" s="1189">
        <v>111485</v>
      </c>
      <c r="J142" s="1190" t="s">
        <v>2120</v>
      </c>
      <c r="K142" s="1191">
        <f>+F142-I142</f>
        <v>0</v>
      </c>
      <c r="L142" s="1192"/>
      <c r="M142" s="1109"/>
      <c r="N142" s="1193"/>
    </row>
    <row r="143" spans="1:16" ht="23.25" customHeight="1">
      <c r="B143" s="1194" t="s">
        <v>154</v>
      </c>
      <c r="C143" s="1195" t="s">
        <v>156</v>
      </c>
      <c r="D143" s="1196">
        <v>4210</v>
      </c>
      <c r="E143" s="1196">
        <v>0</v>
      </c>
      <c r="F143" s="1197">
        <v>4210</v>
      </c>
      <c r="G143" s="1198">
        <v>4210</v>
      </c>
      <c r="H143" s="1199">
        <v>0</v>
      </c>
      <c r="I143" s="1199">
        <v>4210</v>
      </c>
      <c r="J143" s="1200" t="s">
        <v>2120</v>
      </c>
      <c r="K143" s="1201">
        <f t="shared" ref="K143:K209" si="10">+F143-I143</f>
        <v>0</v>
      </c>
      <c r="L143" s="1128"/>
      <c r="M143" s="1118"/>
      <c r="N143" s="1202"/>
    </row>
    <row r="144" spans="1:16" ht="15" customHeight="1">
      <c r="B144" s="1203" t="s">
        <v>124</v>
      </c>
      <c r="C144" s="1195" t="s">
        <v>155</v>
      </c>
      <c r="D144" s="1196">
        <v>281830</v>
      </c>
      <c r="E144" s="1196">
        <v>28183</v>
      </c>
      <c r="F144" s="1197">
        <v>310013</v>
      </c>
      <c r="G144" s="1198">
        <v>281830</v>
      </c>
      <c r="H144" s="1199">
        <v>28183</v>
      </c>
      <c r="I144" s="1199">
        <v>310013</v>
      </c>
      <c r="J144" s="1200" t="s">
        <v>2121</v>
      </c>
      <c r="K144" s="1201">
        <f t="shared" si="10"/>
        <v>0</v>
      </c>
      <c r="L144" s="1119"/>
      <c r="M144" s="1118"/>
      <c r="N144" s="1118"/>
    </row>
    <row r="145" spans="2:14" ht="15" customHeight="1">
      <c r="B145" s="1203" t="s">
        <v>124</v>
      </c>
      <c r="C145" s="1195" t="s">
        <v>156</v>
      </c>
      <c r="D145" s="1196">
        <v>11710</v>
      </c>
      <c r="E145" s="1196">
        <v>0</v>
      </c>
      <c r="F145" s="1197">
        <v>11710</v>
      </c>
      <c r="G145" s="1198">
        <v>11710</v>
      </c>
      <c r="H145" s="1199">
        <v>0</v>
      </c>
      <c r="I145" s="1199">
        <v>11710</v>
      </c>
      <c r="J145" s="1200" t="s">
        <v>2121</v>
      </c>
      <c r="K145" s="1201">
        <f t="shared" si="10"/>
        <v>0</v>
      </c>
      <c r="L145" s="1119"/>
      <c r="M145" s="1118"/>
      <c r="N145" s="1118"/>
    </row>
    <row r="146" spans="2:14" ht="15" customHeight="1">
      <c r="B146" s="1203" t="s">
        <v>124</v>
      </c>
      <c r="C146" s="1195" t="s">
        <v>157</v>
      </c>
      <c r="D146" s="1196">
        <v>0</v>
      </c>
      <c r="E146" s="1196">
        <v>0</v>
      </c>
      <c r="F146" s="1197">
        <v>0</v>
      </c>
      <c r="G146" s="1198">
        <v>0</v>
      </c>
      <c r="H146" s="1199">
        <v>0</v>
      </c>
      <c r="I146" s="1199">
        <v>0</v>
      </c>
      <c r="J146" s="1200" t="s">
        <v>2121</v>
      </c>
      <c r="K146" s="1201">
        <f t="shared" si="10"/>
        <v>0</v>
      </c>
      <c r="L146" s="1119"/>
      <c r="M146" s="1118"/>
      <c r="N146" s="1118"/>
    </row>
    <row r="147" spans="2:14" ht="15" customHeight="1">
      <c r="B147" s="1194" t="s">
        <v>158</v>
      </c>
      <c r="C147" s="1195" t="s">
        <v>155</v>
      </c>
      <c r="D147" s="1204">
        <v>175700</v>
      </c>
      <c r="E147" s="1204">
        <v>17570</v>
      </c>
      <c r="F147" s="1205">
        <v>193270</v>
      </c>
      <c r="G147" s="1198">
        <v>175700</v>
      </c>
      <c r="H147" s="1199">
        <v>17570</v>
      </c>
      <c r="I147" s="1199">
        <v>193270</v>
      </c>
      <c r="J147" s="1200" t="s">
        <v>2122</v>
      </c>
      <c r="K147" s="1201">
        <f t="shared" si="10"/>
        <v>0</v>
      </c>
      <c r="L147" s="1119"/>
      <c r="M147" s="1118"/>
      <c r="N147" s="1118"/>
    </row>
    <row r="148" spans="2:14" ht="15" customHeight="1">
      <c r="B148" s="1194" t="s">
        <v>158</v>
      </c>
      <c r="C148" s="1195" t="s">
        <v>156</v>
      </c>
      <c r="D148" s="1204">
        <v>7310</v>
      </c>
      <c r="E148" s="1204">
        <v>0</v>
      </c>
      <c r="F148" s="1205">
        <v>7310</v>
      </c>
      <c r="G148" s="1198">
        <v>7310</v>
      </c>
      <c r="H148" s="1199">
        <v>0</v>
      </c>
      <c r="I148" s="1199">
        <v>7310</v>
      </c>
      <c r="J148" s="1200" t="s">
        <v>2122</v>
      </c>
      <c r="K148" s="1201">
        <f t="shared" si="10"/>
        <v>0</v>
      </c>
      <c r="L148" s="1119"/>
      <c r="M148" s="1118"/>
      <c r="N148" s="1118"/>
    </row>
    <row r="149" spans="2:14" ht="15" customHeight="1">
      <c r="B149" s="1194" t="s">
        <v>158</v>
      </c>
      <c r="C149" s="1195" t="s">
        <v>159</v>
      </c>
      <c r="D149" s="1204">
        <v>262950</v>
      </c>
      <c r="E149" s="1204">
        <v>26295</v>
      </c>
      <c r="F149" s="1205">
        <v>289245</v>
      </c>
      <c r="G149" s="1198">
        <v>262950</v>
      </c>
      <c r="H149" s="1199">
        <v>26295</v>
      </c>
      <c r="I149" s="1199">
        <v>289245</v>
      </c>
      <c r="J149" s="1200" t="s">
        <v>2122</v>
      </c>
      <c r="K149" s="1201">
        <f t="shared" si="10"/>
        <v>0</v>
      </c>
      <c r="L149" s="1119"/>
      <c r="M149" s="1118"/>
      <c r="N149" s="1118"/>
    </row>
    <row r="150" spans="2:14" ht="15" customHeight="1">
      <c r="B150" s="1194" t="s">
        <v>158</v>
      </c>
      <c r="C150" s="1195" t="s">
        <v>160</v>
      </c>
      <c r="D150" s="1204">
        <v>10940</v>
      </c>
      <c r="E150" s="1204">
        <v>0</v>
      </c>
      <c r="F150" s="1206">
        <v>10940</v>
      </c>
      <c r="G150" s="1207">
        <v>10940</v>
      </c>
      <c r="H150" s="1199">
        <v>0</v>
      </c>
      <c r="I150" s="1199">
        <v>10940</v>
      </c>
      <c r="J150" s="1200" t="s">
        <v>2122</v>
      </c>
      <c r="K150" s="1201">
        <f t="shared" si="10"/>
        <v>0</v>
      </c>
      <c r="L150" s="1119"/>
      <c r="M150" s="1118"/>
      <c r="N150" s="1118"/>
    </row>
    <row r="151" spans="2:14" ht="15" customHeight="1">
      <c r="B151" s="1203" t="s">
        <v>471</v>
      </c>
      <c r="C151" s="1195" t="s">
        <v>155</v>
      </c>
      <c r="D151" s="1196">
        <v>138270</v>
      </c>
      <c r="E151" s="1196">
        <v>13827</v>
      </c>
      <c r="F151" s="1208">
        <v>152097</v>
      </c>
      <c r="G151" s="1207">
        <v>138270</v>
      </c>
      <c r="H151" s="1199">
        <v>13827</v>
      </c>
      <c r="I151" s="1199">
        <v>152097</v>
      </c>
      <c r="J151" s="1200" t="s">
        <v>2122</v>
      </c>
      <c r="K151" s="1201">
        <f t="shared" si="10"/>
        <v>0</v>
      </c>
      <c r="L151" s="1119"/>
      <c r="M151" s="1118"/>
      <c r="N151" s="1118"/>
    </row>
    <row r="152" spans="2:14" ht="15" customHeight="1">
      <c r="B152" s="1203" t="s">
        <v>471</v>
      </c>
      <c r="C152" s="1195" t="s">
        <v>156</v>
      </c>
      <c r="D152" s="1196">
        <v>5750</v>
      </c>
      <c r="E152" s="1196">
        <v>0</v>
      </c>
      <c r="F152" s="1208">
        <v>5750</v>
      </c>
      <c r="G152" s="1207">
        <v>5750</v>
      </c>
      <c r="H152" s="1199">
        <v>0</v>
      </c>
      <c r="I152" s="1199">
        <v>5750</v>
      </c>
      <c r="J152" s="1200" t="s">
        <v>2122</v>
      </c>
      <c r="K152" s="1201">
        <f t="shared" si="10"/>
        <v>0</v>
      </c>
      <c r="L152" s="1119"/>
      <c r="M152" s="1118"/>
      <c r="N152" s="1118"/>
    </row>
    <row r="153" spans="2:14" ht="15" customHeight="1">
      <c r="B153" s="1203" t="s">
        <v>471</v>
      </c>
      <c r="C153" s="1209" t="s">
        <v>157</v>
      </c>
      <c r="D153" s="1196">
        <v>2695000</v>
      </c>
      <c r="E153" s="1196">
        <v>269500</v>
      </c>
      <c r="F153" s="1208">
        <v>2964500</v>
      </c>
      <c r="G153" s="1207">
        <v>2695000</v>
      </c>
      <c r="H153" s="1199">
        <v>269500</v>
      </c>
      <c r="I153" s="1199">
        <v>2964500</v>
      </c>
      <c r="J153" s="1200" t="s">
        <v>2122</v>
      </c>
      <c r="K153" s="1201">
        <f t="shared" si="10"/>
        <v>0</v>
      </c>
      <c r="L153" s="1119"/>
      <c r="M153" s="1118"/>
      <c r="N153" s="1118"/>
    </row>
    <row r="154" spans="2:14" ht="15" customHeight="1">
      <c r="B154" s="1203" t="s">
        <v>125</v>
      </c>
      <c r="C154" s="1195" t="s">
        <v>155</v>
      </c>
      <c r="D154" s="1196">
        <v>91080</v>
      </c>
      <c r="E154" s="1204">
        <v>9108</v>
      </c>
      <c r="F154" s="1208">
        <v>100188</v>
      </c>
      <c r="G154" s="1210"/>
      <c r="H154" s="1204"/>
      <c r="I154" s="1197"/>
      <c r="J154" s="1200"/>
      <c r="K154" s="1201">
        <f t="shared" si="10"/>
        <v>100188</v>
      </c>
      <c r="L154" s="1119"/>
      <c r="M154" s="1118"/>
      <c r="N154" s="1118"/>
    </row>
    <row r="155" spans="2:14" ht="15" customHeight="1">
      <c r="B155" s="1203" t="s">
        <v>125</v>
      </c>
      <c r="C155" s="1195" t="s">
        <v>156</v>
      </c>
      <c r="D155" s="1196">
        <v>3780</v>
      </c>
      <c r="E155" s="1196">
        <v>0</v>
      </c>
      <c r="F155" s="1208">
        <v>3780</v>
      </c>
      <c r="G155" s="1210"/>
      <c r="H155" s="1196"/>
      <c r="I155" s="1197"/>
      <c r="J155" s="1200"/>
      <c r="K155" s="1201">
        <f t="shared" si="10"/>
        <v>3780</v>
      </c>
      <c r="L155" s="1119"/>
      <c r="M155" s="1118"/>
      <c r="N155" s="1118"/>
    </row>
    <row r="156" spans="2:14" ht="15" customHeight="1">
      <c r="B156" s="1203" t="s">
        <v>125</v>
      </c>
      <c r="C156" s="1195" t="s">
        <v>159</v>
      </c>
      <c r="D156" s="1204">
        <v>1573490</v>
      </c>
      <c r="E156" s="1204">
        <v>157349</v>
      </c>
      <c r="F156" s="1206">
        <v>1730839</v>
      </c>
      <c r="G156" s="1211"/>
      <c r="H156" s="1204"/>
      <c r="I156" s="1205"/>
      <c r="J156" s="1200"/>
      <c r="K156" s="1201">
        <f t="shared" si="10"/>
        <v>1730839</v>
      </c>
      <c r="L156" s="1119"/>
      <c r="M156" s="1118"/>
      <c r="N156" s="1118"/>
    </row>
    <row r="157" spans="2:14" ht="15" customHeight="1">
      <c r="B157" s="1203" t="s">
        <v>125</v>
      </c>
      <c r="C157" s="1195" t="s">
        <v>160</v>
      </c>
      <c r="D157" s="1204">
        <v>65460</v>
      </c>
      <c r="E157" s="1204">
        <v>0</v>
      </c>
      <c r="F157" s="1206">
        <v>65460</v>
      </c>
      <c r="G157" s="1211"/>
      <c r="H157" s="1204"/>
      <c r="I157" s="1205"/>
      <c r="J157" s="1200"/>
      <c r="K157" s="1201">
        <f t="shared" si="10"/>
        <v>65460</v>
      </c>
      <c r="L157" s="1119"/>
      <c r="M157" s="1118"/>
      <c r="N157" s="1118"/>
    </row>
    <row r="158" spans="2:14" ht="15" customHeight="1">
      <c r="B158" s="1203" t="s">
        <v>126</v>
      </c>
      <c r="C158" s="1195" t="s">
        <v>155</v>
      </c>
      <c r="D158" s="1196">
        <v>42710</v>
      </c>
      <c r="E158" s="1196">
        <v>4271</v>
      </c>
      <c r="F158" s="1208">
        <v>46981</v>
      </c>
      <c r="G158" s="1207">
        <v>42710</v>
      </c>
      <c r="H158" s="1199">
        <v>4271</v>
      </c>
      <c r="I158" s="1199">
        <v>46981</v>
      </c>
      <c r="J158" s="1200" t="s">
        <v>2123</v>
      </c>
      <c r="K158" s="1201">
        <f t="shared" si="10"/>
        <v>0</v>
      </c>
      <c r="L158" s="1119"/>
      <c r="M158" s="1118"/>
      <c r="N158" s="1118"/>
    </row>
    <row r="159" spans="2:14" ht="15" customHeight="1">
      <c r="B159" s="1203" t="s">
        <v>126</v>
      </c>
      <c r="C159" s="1195" t="s">
        <v>156</v>
      </c>
      <c r="D159" s="1196">
        <v>1770</v>
      </c>
      <c r="E159" s="1196">
        <v>0</v>
      </c>
      <c r="F159" s="1208">
        <v>1770</v>
      </c>
      <c r="G159" s="1207">
        <v>1770</v>
      </c>
      <c r="H159" s="1199">
        <v>0</v>
      </c>
      <c r="I159" s="1199">
        <v>1770</v>
      </c>
      <c r="J159" s="1200" t="s">
        <v>2123</v>
      </c>
      <c r="K159" s="1201">
        <f t="shared" si="10"/>
        <v>0</v>
      </c>
      <c r="L159" s="1119"/>
      <c r="M159" s="1118"/>
      <c r="N159" s="1118"/>
    </row>
    <row r="160" spans="2:14" ht="15" customHeight="1">
      <c r="B160" s="1203" t="s">
        <v>124</v>
      </c>
      <c r="C160" s="1195" t="s">
        <v>155</v>
      </c>
      <c r="D160" s="1196">
        <v>130850</v>
      </c>
      <c r="E160" s="1196">
        <v>13085</v>
      </c>
      <c r="F160" s="1208">
        <v>143935</v>
      </c>
      <c r="G160" s="1207">
        <v>130850</v>
      </c>
      <c r="H160" s="1199">
        <v>13085</v>
      </c>
      <c r="I160" s="1199">
        <v>143935</v>
      </c>
      <c r="J160" s="1200" t="s">
        <v>2121</v>
      </c>
      <c r="K160" s="1201">
        <f t="shared" si="10"/>
        <v>0</v>
      </c>
      <c r="L160" s="1119"/>
      <c r="M160" s="1118"/>
      <c r="N160" s="1118"/>
    </row>
    <row r="161" spans="2:14" ht="15" customHeight="1">
      <c r="B161" s="1203" t="s">
        <v>124</v>
      </c>
      <c r="C161" s="1195" t="s">
        <v>156</v>
      </c>
      <c r="D161" s="1196">
        <v>5440</v>
      </c>
      <c r="E161" s="1196">
        <v>0</v>
      </c>
      <c r="F161" s="1208">
        <v>5440</v>
      </c>
      <c r="G161" s="1207">
        <v>5440</v>
      </c>
      <c r="H161" s="1199">
        <v>0</v>
      </c>
      <c r="I161" s="1199">
        <v>5440</v>
      </c>
      <c r="J161" s="1200" t="s">
        <v>2121</v>
      </c>
      <c r="K161" s="1201">
        <f t="shared" si="10"/>
        <v>0</v>
      </c>
      <c r="L161" s="1119"/>
      <c r="M161" s="1118"/>
      <c r="N161" s="1118"/>
    </row>
    <row r="162" spans="2:14" ht="15" customHeight="1">
      <c r="B162" s="1203" t="s">
        <v>124</v>
      </c>
      <c r="C162" s="1195" t="s">
        <v>157</v>
      </c>
      <c r="D162" s="1196">
        <v>0</v>
      </c>
      <c r="E162" s="1196">
        <v>0</v>
      </c>
      <c r="F162" s="1208">
        <v>0</v>
      </c>
      <c r="G162" s="1207">
        <v>0</v>
      </c>
      <c r="H162" s="1199">
        <v>0</v>
      </c>
      <c r="I162" s="1199">
        <v>0</v>
      </c>
      <c r="J162" s="1200" t="s">
        <v>2121</v>
      </c>
      <c r="K162" s="1201">
        <f t="shared" si="10"/>
        <v>0</v>
      </c>
      <c r="L162" s="1119"/>
      <c r="M162" s="1118"/>
      <c r="N162" s="1118"/>
    </row>
    <row r="163" spans="2:14" ht="15" customHeight="1">
      <c r="B163" s="1194" t="s">
        <v>473</v>
      </c>
      <c r="C163" s="1195" t="s">
        <v>155</v>
      </c>
      <c r="D163" s="1196">
        <v>170050</v>
      </c>
      <c r="E163" s="1196">
        <v>17005</v>
      </c>
      <c r="F163" s="1208">
        <v>187055</v>
      </c>
      <c r="G163" s="1207">
        <v>170050</v>
      </c>
      <c r="H163" s="1199">
        <v>17005</v>
      </c>
      <c r="I163" s="1199">
        <v>187055</v>
      </c>
      <c r="J163" s="1200" t="s">
        <v>2121</v>
      </c>
      <c r="K163" s="1201">
        <f t="shared" si="10"/>
        <v>0</v>
      </c>
      <c r="L163" s="1119"/>
      <c r="M163" s="1118"/>
      <c r="N163" s="1118"/>
    </row>
    <row r="164" spans="2:14" ht="15" customHeight="1">
      <c r="B164" s="1194" t="s">
        <v>473</v>
      </c>
      <c r="C164" s="1195" t="s">
        <v>156</v>
      </c>
      <c r="D164" s="1196">
        <v>7070</v>
      </c>
      <c r="E164" s="1196">
        <v>0</v>
      </c>
      <c r="F164" s="1208">
        <v>7070</v>
      </c>
      <c r="G164" s="1207">
        <v>7070</v>
      </c>
      <c r="H164" s="1199">
        <v>0</v>
      </c>
      <c r="I164" s="1199">
        <v>7070</v>
      </c>
      <c r="J164" s="1200" t="s">
        <v>2121</v>
      </c>
      <c r="K164" s="1201">
        <f t="shared" si="10"/>
        <v>0</v>
      </c>
      <c r="L164" s="1119"/>
      <c r="M164" s="1118"/>
      <c r="N164" s="1118"/>
    </row>
    <row r="165" spans="2:14" ht="15" customHeight="1">
      <c r="B165" s="1194" t="s">
        <v>473</v>
      </c>
      <c r="C165" s="1195" t="s">
        <v>157</v>
      </c>
      <c r="D165" s="1196">
        <v>0</v>
      </c>
      <c r="E165" s="1196">
        <v>0</v>
      </c>
      <c r="F165" s="1208">
        <v>0</v>
      </c>
      <c r="G165" s="1207">
        <v>0</v>
      </c>
      <c r="H165" s="1199">
        <v>0</v>
      </c>
      <c r="I165" s="1199">
        <v>0</v>
      </c>
      <c r="J165" s="1200" t="s">
        <v>2121</v>
      </c>
      <c r="K165" s="1201">
        <f t="shared" si="10"/>
        <v>0</v>
      </c>
      <c r="L165" s="1119"/>
      <c r="M165" s="1118"/>
      <c r="N165" s="1118"/>
    </row>
    <row r="166" spans="2:14" ht="15" customHeight="1">
      <c r="B166" s="1194" t="s">
        <v>126</v>
      </c>
      <c r="C166" s="1195" t="s">
        <v>155</v>
      </c>
      <c r="D166" s="1204">
        <v>87190</v>
      </c>
      <c r="E166" s="1204">
        <v>8719</v>
      </c>
      <c r="F166" s="1206">
        <v>95909</v>
      </c>
      <c r="G166" s="1211">
        <v>87190</v>
      </c>
      <c r="H166" s="1204">
        <v>8719</v>
      </c>
      <c r="I166" s="1204">
        <v>95909</v>
      </c>
      <c r="J166" s="1200" t="s">
        <v>2124</v>
      </c>
      <c r="K166" s="1201">
        <f t="shared" si="10"/>
        <v>0</v>
      </c>
      <c r="L166" s="1119"/>
      <c r="M166" s="1118"/>
      <c r="N166" s="1118"/>
    </row>
    <row r="167" spans="2:14" ht="15" customHeight="1">
      <c r="B167" s="1194" t="s">
        <v>126</v>
      </c>
      <c r="C167" s="1195" t="s">
        <v>156</v>
      </c>
      <c r="D167" s="1204">
        <v>3620</v>
      </c>
      <c r="E167" s="1204">
        <v>0</v>
      </c>
      <c r="F167" s="1206">
        <v>3620</v>
      </c>
      <c r="G167" s="1211">
        <v>3620</v>
      </c>
      <c r="H167" s="1204">
        <v>0</v>
      </c>
      <c r="I167" s="1204">
        <v>3620</v>
      </c>
      <c r="J167" s="1200" t="s">
        <v>2124</v>
      </c>
      <c r="K167" s="1201">
        <f t="shared" si="10"/>
        <v>0</v>
      </c>
      <c r="L167" s="1119"/>
      <c r="M167" s="1118"/>
      <c r="N167" s="1118"/>
    </row>
    <row r="168" spans="2:14" ht="15" customHeight="1">
      <c r="B168" s="1194" t="s">
        <v>472</v>
      </c>
      <c r="C168" s="1209" t="s">
        <v>155</v>
      </c>
      <c r="D168" s="1196">
        <v>17560</v>
      </c>
      <c r="E168" s="1196">
        <v>1756</v>
      </c>
      <c r="F168" s="1208">
        <v>19316</v>
      </c>
      <c r="G168" s="1210">
        <v>17560</v>
      </c>
      <c r="H168" s="1196">
        <v>1756</v>
      </c>
      <c r="I168" s="1196">
        <v>19316</v>
      </c>
      <c r="J168" s="1200" t="s">
        <v>2121</v>
      </c>
      <c r="K168" s="1201">
        <f t="shared" si="10"/>
        <v>0</v>
      </c>
      <c r="L168" s="1119"/>
      <c r="M168" s="1118"/>
      <c r="N168" s="1118"/>
    </row>
    <row r="169" spans="2:14" ht="15" customHeight="1">
      <c r="B169" s="1194" t="s">
        <v>472</v>
      </c>
      <c r="C169" s="1195" t="s">
        <v>156</v>
      </c>
      <c r="D169" s="1196">
        <v>730</v>
      </c>
      <c r="E169" s="1196">
        <v>0</v>
      </c>
      <c r="F169" s="1208">
        <v>730</v>
      </c>
      <c r="G169" s="1210">
        <v>730</v>
      </c>
      <c r="H169" s="1196">
        <v>0</v>
      </c>
      <c r="I169" s="1197">
        <v>730</v>
      </c>
      <c r="J169" s="1200" t="s">
        <v>2121</v>
      </c>
      <c r="K169" s="1201">
        <f t="shared" si="10"/>
        <v>0</v>
      </c>
      <c r="L169" s="1119"/>
      <c r="M169" s="1118"/>
      <c r="N169" s="1118"/>
    </row>
    <row r="170" spans="2:14" ht="15" customHeight="1">
      <c r="B170" s="1194" t="s">
        <v>472</v>
      </c>
      <c r="C170" s="1195" t="s">
        <v>157</v>
      </c>
      <c r="D170" s="1196">
        <v>0</v>
      </c>
      <c r="E170" s="1196">
        <v>0</v>
      </c>
      <c r="F170" s="1208">
        <v>0</v>
      </c>
      <c r="G170" s="1210">
        <v>0</v>
      </c>
      <c r="H170" s="1196">
        <v>0</v>
      </c>
      <c r="I170" s="1197">
        <v>0</v>
      </c>
      <c r="J170" s="1200" t="s">
        <v>2121</v>
      </c>
      <c r="K170" s="1201">
        <f t="shared" si="10"/>
        <v>0</v>
      </c>
      <c r="L170" s="1119"/>
      <c r="M170" s="1118"/>
      <c r="N170" s="1118"/>
    </row>
    <row r="171" spans="2:14" ht="15" customHeight="1">
      <c r="B171" s="1203" t="s">
        <v>130</v>
      </c>
      <c r="C171" s="1195" t="s">
        <v>155</v>
      </c>
      <c r="D171" s="1204">
        <v>21750</v>
      </c>
      <c r="E171" s="1204">
        <v>2175</v>
      </c>
      <c r="F171" s="1206">
        <v>23925</v>
      </c>
      <c r="G171" s="1207">
        <v>21750</v>
      </c>
      <c r="H171" s="1199">
        <v>2175</v>
      </c>
      <c r="I171" s="1199">
        <v>23925</v>
      </c>
      <c r="J171" s="1200" t="s">
        <v>2125</v>
      </c>
      <c r="K171" s="1201">
        <f t="shared" si="10"/>
        <v>0</v>
      </c>
      <c r="L171" s="1119"/>
      <c r="M171" s="1118"/>
      <c r="N171" s="1118"/>
    </row>
    <row r="172" spans="2:14" ht="15" customHeight="1">
      <c r="B172" s="1203" t="s">
        <v>130</v>
      </c>
      <c r="C172" s="1195" t="s">
        <v>156</v>
      </c>
      <c r="D172" s="1204">
        <v>900</v>
      </c>
      <c r="E172" s="1204">
        <v>0</v>
      </c>
      <c r="F172" s="1206">
        <v>900</v>
      </c>
      <c r="G172" s="1207">
        <v>900</v>
      </c>
      <c r="H172" s="1199">
        <v>0</v>
      </c>
      <c r="I172" s="1199">
        <v>900</v>
      </c>
      <c r="J172" s="1200" t="s">
        <v>2125</v>
      </c>
      <c r="K172" s="1201">
        <f t="shared" si="10"/>
        <v>0</v>
      </c>
      <c r="L172" s="1119"/>
      <c r="M172" s="1118"/>
      <c r="N172" s="1118"/>
    </row>
    <row r="173" spans="2:14" ht="15" customHeight="1">
      <c r="B173" s="1203" t="s">
        <v>473</v>
      </c>
      <c r="C173" s="1195" t="s">
        <v>155</v>
      </c>
      <c r="D173" s="1204">
        <v>19720</v>
      </c>
      <c r="E173" s="1204">
        <v>1972</v>
      </c>
      <c r="F173" s="1206">
        <v>21692</v>
      </c>
      <c r="G173" s="1207">
        <v>19720</v>
      </c>
      <c r="H173" s="1199">
        <v>1972</v>
      </c>
      <c r="I173" s="1199">
        <v>21692</v>
      </c>
      <c r="J173" s="1200" t="s">
        <v>2121</v>
      </c>
      <c r="K173" s="1201">
        <f t="shared" si="10"/>
        <v>0</v>
      </c>
      <c r="L173" s="1119"/>
      <c r="M173" s="1118"/>
      <c r="N173" s="1118"/>
    </row>
    <row r="174" spans="2:14" ht="15" customHeight="1">
      <c r="B174" s="1203" t="s">
        <v>473</v>
      </c>
      <c r="C174" s="1195" t="s">
        <v>156</v>
      </c>
      <c r="D174" s="1204">
        <v>820</v>
      </c>
      <c r="E174" s="1204">
        <v>0</v>
      </c>
      <c r="F174" s="1206">
        <v>820</v>
      </c>
      <c r="G174" s="1207">
        <v>820</v>
      </c>
      <c r="H174" s="1199">
        <v>0</v>
      </c>
      <c r="I174" s="1199">
        <v>820</v>
      </c>
      <c r="J174" s="1200" t="s">
        <v>2121</v>
      </c>
      <c r="K174" s="1201">
        <f t="shared" si="10"/>
        <v>0</v>
      </c>
      <c r="L174" s="1119"/>
      <c r="M174" s="1118"/>
      <c r="N174" s="1118"/>
    </row>
    <row r="175" spans="2:14" ht="15" customHeight="1">
      <c r="B175" s="1203" t="s">
        <v>189</v>
      </c>
      <c r="C175" s="1209" t="s">
        <v>155</v>
      </c>
      <c r="D175" s="1204">
        <v>0</v>
      </c>
      <c r="E175" s="1204">
        <v>0</v>
      </c>
      <c r="F175" s="1206">
        <v>0</v>
      </c>
      <c r="G175" s="1207">
        <v>0</v>
      </c>
      <c r="H175" s="1199">
        <v>0</v>
      </c>
      <c r="I175" s="1199">
        <v>0</v>
      </c>
      <c r="J175" s="1200"/>
      <c r="K175" s="1201">
        <f t="shared" si="10"/>
        <v>0</v>
      </c>
      <c r="L175" s="1119"/>
      <c r="M175" s="1118"/>
      <c r="N175" s="1118"/>
    </row>
    <row r="176" spans="2:14" ht="15" customHeight="1">
      <c r="B176" s="1203" t="s">
        <v>189</v>
      </c>
      <c r="C176" s="1209" t="s">
        <v>156</v>
      </c>
      <c r="D176" s="1204">
        <v>0</v>
      </c>
      <c r="E176" s="1204">
        <v>0</v>
      </c>
      <c r="F176" s="1206">
        <v>0</v>
      </c>
      <c r="G176" s="1207">
        <v>0</v>
      </c>
      <c r="H176" s="1199">
        <v>0</v>
      </c>
      <c r="I176" s="1199">
        <v>0</v>
      </c>
      <c r="J176" s="1200"/>
      <c r="K176" s="1201">
        <f t="shared" si="10"/>
        <v>0</v>
      </c>
      <c r="L176" s="1119"/>
      <c r="M176" s="1118"/>
      <c r="N176" s="1118"/>
    </row>
    <row r="177" spans="2:14" ht="15" customHeight="1">
      <c r="B177" s="1203" t="s">
        <v>189</v>
      </c>
      <c r="C177" s="1209" t="s">
        <v>157</v>
      </c>
      <c r="D177" s="1204">
        <v>0</v>
      </c>
      <c r="E177" s="1204">
        <v>0</v>
      </c>
      <c r="F177" s="1206">
        <v>0</v>
      </c>
      <c r="G177" s="1207">
        <v>0</v>
      </c>
      <c r="H177" s="1199">
        <v>0</v>
      </c>
      <c r="I177" s="1199">
        <v>0</v>
      </c>
      <c r="J177" s="1200"/>
      <c r="K177" s="1201">
        <f t="shared" si="10"/>
        <v>0</v>
      </c>
      <c r="L177" s="1119"/>
      <c r="M177" s="1118"/>
      <c r="N177" s="1118"/>
    </row>
    <row r="178" spans="2:14" ht="15" customHeight="1">
      <c r="B178" s="1203" t="s">
        <v>131</v>
      </c>
      <c r="C178" s="1209" t="s">
        <v>155</v>
      </c>
      <c r="D178" s="1204">
        <v>7360</v>
      </c>
      <c r="E178" s="1204">
        <v>736</v>
      </c>
      <c r="F178" s="1206">
        <v>8096</v>
      </c>
      <c r="G178" s="1207">
        <v>7360</v>
      </c>
      <c r="H178" s="1199">
        <v>736</v>
      </c>
      <c r="I178" s="1199">
        <v>8096</v>
      </c>
      <c r="J178" s="1200" t="s">
        <v>2125</v>
      </c>
      <c r="K178" s="1201">
        <f t="shared" si="10"/>
        <v>0</v>
      </c>
      <c r="L178" s="1119"/>
      <c r="M178" s="1118"/>
      <c r="N178" s="1118"/>
    </row>
    <row r="179" spans="2:14" ht="15.75" customHeight="1">
      <c r="B179" s="1203" t="s">
        <v>131</v>
      </c>
      <c r="C179" s="1209" t="s">
        <v>156</v>
      </c>
      <c r="D179" s="1204">
        <v>300</v>
      </c>
      <c r="E179" s="1204">
        <v>0</v>
      </c>
      <c r="F179" s="1206">
        <v>300</v>
      </c>
      <c r="G179" s="1207">
        <v>300</v>
      </c>
      <c r="H179" s="1199">
        <v>0</v>
      </c>
      <c r="I179" s="1199">
        <v>300</v>
      </c>
      <c r="J179" s="1200" t="s">
        <v>2125</v>
      </c>
      <c r="K179" s="1201">
        <f t="shared" si="10"/>
        <v>0</v>
      </c>
      <c r="L179" s="1119"/>
      <c r="M179" s="1118"/>
      <c r="N179" s="1118"/>
    </row>
    <row r="180" spans="2:14" ht="15.75" customHeight="1">
      <c r="B180" s="1203" t="s">
        <v>140</v>
      </c>
      <c r="C180" s="1195" t="s">
        <v>155</v>
      </c>
      <c r="D180" s="1204">
        <v>67220</v>
      </c>
      <c r="E180" s="1204">
        <v>6722</v>
      </c>
      <c r="F180" s="1206">
        <v>73942</v>
      </c>
      <c r="G180" s="1207">
        <v>67220</v>
      </c>
      <c r="H180" s="1199">
        <v>6722</v>
      </c>
      <c r="I180" s="1199">
        <v>73942</v>
      </c>
      <c r="J180" s="1200" t="s">
        <v>2125</v>
      </c>
      <c r="K180" s="1201">
        <f t="shared" si="10"/>
        <v>0</v>
      </c>
      <c r="L180" s="1119"/>
      <c r="M180" s="1118"/>
      <c r="N180" s="1118"/>
    </row>
    <row r="181" spans="2:14" ht="15.75" customHeight="1">
      <c r="B181" s="1203" t="s">
        <v>140</v>
      </c>
      <c r="C181" s="1209" t="s">
        <v>156</v>
      </c>
      <c r="D181" s="1204">
        <v>2790</v>
      </c>
      <c r="E181" s="1204">
        <v>0</v>
      </c>
      <c r="F181" s="1206">
        <v>2790</v>
      </c>
      <c r="G181" s="1207">
        <v>2790</v>
      </c>
      <c r="H181" s="1199">
        <v>0</v>
      </c>
      <c r="I181" s="1199">
        <v>2790</v>
      </c>
      <c r="J181" s="1200" t="s">
        <v>2125</v>
      </c>
      <c r="K181" s="1201">
        <f t="shared" si="10"/>
        <v>0</v>
      </c>
      <c r="L181" s="1119"/>
      <c r="M181" s="1118"/>
      <c r="N181" s="1118"/>
    </row>
    <row r="182" spans="2:14" ht="15" customHeight="1">
      <c r="B182" s="1203" t="s">
        <v>474</v>
      </c>
      <c r="C182" s="1195" t="s">
        <v>155</v>
      </c>
      <c r="D182" s="1204">
        <v>157970</v>
      </c>
      <c r="E182" s="1204">
        <v>15797</v>
      </c>
      <c r="F182" s="1206">
        <v>173767</v>
      </c>
      <c r="G182" s="1207">
        <v>157970</v>
      </c>
      <c r="H182" s="1199">
        <v>15797</v>
      </c>
      <c r="I182" s="1199">
        <v>173767</v>
      </c>
      <c r="J182" s="1200" t="s">
        <v>2122</v>
      </c>
      <c r="K182" s="1201">
        <f t="shared" si="10"/>
        <v>0</v>
      </c>
      <c r="L182" s="1119"/>
      <c r="M182" s="1118"/>
      <c r="N182" s="1118"/>
    </row>
    <row r="183" spans="2:14" ht="15" customHeight="1">
      <c r="B183" s="1203" t="s">
        <v>474</v>
      </c>
      <c r="C183" s="1195" t="s">
        <v>156</v>
      </c>
      <c r="D183" s="1204">
        <v>6570</v>
      </c>
      <c r="E183" s="1204">
        <v>0</v>
      </c>
      <c r="F183" s="1206">
        <v>6570</v>
      </c>
      <c r="G183" s="1207">
        <v>6570</v>
      </c>
      <c r="H183" s="1199">
        <v>0</v>
      </c>
      <c r="I183" s="1199">
        <v>6570</v>
      </c>
      <c r="J183" s="1200" t="s">
        <v>2122</v>
      </c>
      <c r="K183" s="1201">
        <f t="shared" si="10"/>
        <v>0</v>
      </c>
      <c r="L183" s="1119"/>
      <c r="M183" s="1118"/>
      <c r="N183" s="1118"/>
    </row>
    <row r="184" spans="2:14" ht="15" customHeight="1">
      <c r="B184" s="1194" t="s">
        <v>474</v>
      </c>
      <c r="C184" s="1195" t="s">
        <v>159</v>
      </c>
      <c r="D184" s="1196">
        <v>227670</v>
      </c>
      <c r="E184" s="1196">
        <v>22767</v>
      </c>
      <c r="F184" s="1197">
        <v>250437</v>
      </c>
      <c r="G184" s="1198">
        <v>227670</v>
      </c>
      <c r="H184" s="1199">
        <v>22767</v>
      </c>
      <c r="I184" s="1199">
        <v>250437</v>
      </c>
      <c r="J184" s="1200" t="s">
        <v>2122</v>
      </c>
      <c r="K184" s="1201">
        <f t="shared" si="10"/>
        <v>0</v>
      </c>
      <c r="L184" s="1119"/>
      <c r="M184" s="1118"/>
      <c r="N184" s="1118"/>
    </row>
    <row r="185" spans="2:14" ht="15" customHeight="1">
      <c r="B185" s="1194" t="s">
        <v>474</v>
      </c>
      <c r="C185" s="1195" t="s">
        <v>160</v>
      </c>
      <c r="D185" s="1196">
        <v>9470</v>
      </c>
      <c r="E185" s="1196">
        <v>0</v>
      </c>
      <c r="F185" s="1197">
        <v>9470</v>
      </c>
      <c r="G185" s="1198">
        <v>9470</v>
      </c>
      <c r="H185" s="1199">
        <v>0</v>
      </c>
      <c r="I185" s="1199">
        <v>9470</v>
      </c>
      <c r="J185" s="1200" t="s">
        <v>2122</v>
      </c>
      <c r="K185" s="1201">
        <f t="shared" si="10"/>
        <v>0</v>
      </c>
      <c r="L185" s="1119"/>
      <c r="M185" s="1118"/>
      <c r="N185" s="1118"/>
    </row>
    <row r="186" spans="2:14" ht="15" customHeight="1">
      <c r="B186" s="1194" t="s">
        <v>475</v>
      </c>
      <c r="C186" s="1195" t="s">
        <v>155</v>
      </c>
      <c r="D186" s="1196">
        <v>47860</v>
      </c>
      <c r="E186" s="1196">
        <v>4786</v>
      </c>
      <c r="F186" s="1197">
        <v>52646</v>
      </c>
      <c r="G186" s="1198">
        <v>47860</v>
      </c>
      <c r="H186" s="1199">
        <v>4786</v>
      </c>
      <c r="I186" s="1199">
        <v>52646</v>
      </c>
      <c r="J186" s="1200" t="s">
        <v>2120</v>
      </c>
      <c r="K186" s="1201">
        <f t="shared" si="10"/>
        <v>0</v>
      </c>
      <c r="L186" s="1119"/>
      <c r="M186" s="1118"/>
      <c r="N186" s="1118"/>
    </row>
    <row r="187" spans="2:14" ht="15" customHeight="1">
      <c r="B187" s="1194" t="s">
        <v>475</v>
      </c>
      <c r="C187" s="1195" t="s">
        <v>156</v>
      </c>
      <c r="D187" s="1196">
        <v>1990</v>
      </c>
      <c r="E187" s="1196">
        <v>0</v>
      </c>
      <c r="F187" s="1197">
        <v>1990</v>
      </c>
      <c r="G187" s="1198">
        <v>1990</v>
      </c>
      <c r="H187" s="1199">
        <v>0</v>
      </c>
      <c r="I187" s="1199">
        <v>1990</v>
      </c>
      <c r="J187" s="1200" t="s">
        <v>2120</v>
      </c>
      <c r="K187" s="1201">
        <f t="shared" si="10"/>
        <v>0</v>
      </c>
      <c r="L187" s="1119"/>
      <c r="M187" s="1118"/>
      <c r="N187" s="1118"/>
    </row>
    <row r="188" spans="2:14" ht="15" customHeight="1">
      <c r="B188" s="1194" t="s">
        <v>475</v>
      </c>
      <c r="C188" s="1195" t="s">
        <v>157</v>
      </c>
      <c r="D188" s="1196">
        <v>0</v>
      </c>
      <c r="E188" s="1196">
        <v>0</v>
      </c>
      <c r="F188" s="1197">
        <v>0</v>
      </c>
      <c r="G188" s="1198">
        <v>0</v>
      </c>
      <c r="H188" s="1199">
        <v>0</v>
      </c>
      <c r="I188" s="1199">
        <v>0</v>
      </c>
      <c r="J188" s="1200" t="s">
        <v>2120</v>
      </c>
      <c r="K188" s="1201">
        <f t="shared" si="10"/>
        <v>0</v>
      </c>
      <c r="L188" s="1119"/>
      <c r="M188" s="1118"/>
      <c r="N188" s="1118"/>
    </row>
    <row r="189" spans="2:14" ht="15" customHeight="1">
      <c r="B189" s="1194" t="s">
        <v>138</v>
      </c>
      <c r="C189" s="1195" t="s">
        <v>155</v>
      </c>
      <c r="D189" s="1196">
        <v>133090</v>
      </c>
      <c r="E189" s="1196">
        <v>13309</v>
      </c>
      <c r="F189" s="1197">
        <v>146399</v>
      </c>
      <c r="G189" s="1198">
        <v>133090</v>
      </c>
      <c r="H189" s="1199">
        <v>13309</v>
      </c>
      <c r="I189" s="1199">
        <v>146399</v>
      </c>
      <c r="J189" s="1200" t="s">
        <v>2125</v>
      </c>
      <c r="K189" s="1201">
        <f t="shared" si="10"/>
        <v>0</v>
      </c>
      <c r="L189" s="1119"/>
      <c r="M189" s="1118"/>
      <c r="N189" s="1118"/>
    </row>
    <row r="190" spans="2:14" ht="15" customHeight="1">
      <c r="B190" s="1194" t="s">
        <v>138</v>
      </c>
      <c r="C190" s="1195" t="s">
        <v>156</v>
      </c>
      <c r="D190" s="1196">
        <v>5530</v>
      </c>
      <c r="E190" s="1196">
        <v>0</v>
      </c>
      <c r="F190" s="1197">
        <v>5530</v>
      </c>
      <c r="G190" s="1198">
        <v>5530</v>
      </c>
      <c r="H190" s="1199">
        <v>0</v>
      </c>
      <c r="I190" s="1199">
        <v>5530</v>
      </c>
      <c r="J190" s="1200" t="s">
        <v>2125</v>
      </c>
      <c r="K190" s="1201">
        <f t="shared" si="10"/>
        <v>0</v>
      </c>
      <c r="L190" s="1119"/>
      <c r="M190" s="1118"/>
      <c r="N190" s="1118"/>
    </row>
    <row r="191" spans="2:14" ht="15" customHeight="1">
      <c r="B191" s="1194" t="s">
        <v>138</v>
      </c>
      <c r="C191" s="1195" t="s">
        <v>159</v>
      </c>
      <c r="D191" s="1196">
        <v>0</v>
      </c>
      <c r="E191" s="1196">
        <v>0</v>
      </c>
      <c r="F191" s="1197">
        <v>0</v>
      </c>
      <c r="G191" s="1198">
        <v>0</v>
      </c>
      <c r="H191" s="1199">
        <v>0</v>
      </c>
      <c r="I191" s="1199">
        <v>0</v>
      </c>
      <c r="J191" s="1200" t="s">
        <v>2125</v>
      </c>
      <c r="K191" s="1201">
        <f t="shared" si="10"/>
        <v>0</v>
      </c>
      <c r="L191" s="1119"/>
      <c r="M191" s="1118"/>
      <c r="N191" s="1118"/>
    </row>
    <row r="192" spans="2:14" ht="15" customHeight="1">
      <c r="B192" s="1194" t="s">
        <v>138</v>
      </c>
      <c r="C192" s="1195" t="s">
        <v>160</v>
      </c>
      <c r="D192" s="1196">
        <v>0</v>
      </c>
      <c r="E192" s="1196">
        <v>0</v>
      </c>
      <c r="F192" s="1197">
        <v>0</v>
      </c>
      <c r="G192" s="1198">
        <v>0</v>
      </c>
      <c r="H192" s="1199">
        <v>0</v>
      </c>
      <c r="I192" s="1199">
        <v>0</v>
      </c>
      <c r="J192" s="1200" t="s">
        <v>2125</v>
      </c>
      <c r="K192" s="1201">
        <f t="shared" si="10"/>
        <v>0</v>
      </c>
      <c r="L192" s="1119"/>
      <c r="M192" s="1118"/>
      <c r="N192" s="1118"/>
    </row>
    <row r="193" spans="2:14" ht="15" customHeight="1">
      <c r="B193" s="1194" t="s">
        <v>138</v>
      </c>
      <c r="C193" s="1195" t="s">
        <v>157</v>
      </c>
      <c r="D193" s="1196">
        <v>0</v>
      </c>
      <c r="E193" s="1196">
        <v>0</v>
      </c>
      <c r="F193" s="1197">
        <v>0</v>
      </c>
      <c r="G193" s="1198">
        <v>0</v>
      </c>
      <c r="H193" s="1199">
        <v>0</v>
      </c>
      <c r="I193" s="1199">
        <v>0</v>
      </c>
      <c r="J193" s="1200" t="s">
        <v>2125</v>
      </c>
      <c r="K193" s="1201">
        <f t="shared" si="10"/>
        <v>0</v>
      </c>
      <c r="L193" s="1119"/>
      <c r="M193" s="1118"/>
      <c r="N193" s="1118"/>
    </row>
    <row r="194" spans="2:14" ht="15" customHeight="1">
      <c r="B194" s="1194" t="s">
        <v>138</v>
      </c>
      <c r="C194" s="1195" t="s">
        <v>155</v>
      </c>
      <c r="D194" s="1196">
        <v>201080</v>
      </c>
      <c r="E194" s="1196">
        <v>20108</v>
      </c>
      <c r="F194" s="1197">
        <v>221188</v>
      </c>
      <c r="G194" s="1198">
        <v>201080</v>
      </c>
      <c r="H194" s="1199">
        <v>20108</v>
      </c>
      <c r="I194" s="1199">
        <v>221188</v>
      </c>
      <c r="J194" s="1200" t="s">
        <v>2125</v>
      </c>
      <c r="K194" s="1201">
        <f t="shared" si="10"/>
        <v>0</v>
      </c>
      <c r="L194" s="1119"/>
      <c r="M194" s="1118"/>
      <c r="N194" s="1118"/>
    </row>
    <row r="195" spans="2:14" ht="15" customHeight="1">
      <c r="B195" s="1203" t="s">
        <v>138</v>
      </c>
      <c r="C195" s="1195" t="s">
        <v>156</v>
      </c>
      <c r="D195" s="1204">
        <v>8360</v>
      </c>
      <c r="E195" s="1204">
        <v>0</v>
      </c>
      <c r="F195" s="1205">
        <v>8360</v>
      </c>
      <c r="G195" s="1198">
        <v>8360</v>
      </c>
      <c r="H195" s="1199">
        <v>0</v>
      </c>
      <c r="I195" s="1199">
        <v>8360</v>
      </c>
      <c r="J195" s="1200" t="s">
        <v>2125</v>
      </c>
      <c r="K195" s="1201">
        <f t="shared" si="10"/>
        <v>0</v>
      </c>
      <c r="L195" s="1119"/>
      <c r="M195" s="1118"/>
      <c r="N195" s="1118"/>
    </row>
    <row r="196" spans="2:14" ht="15" customHeight="1">
      <c r="B196" s="1203" t="s">
        <v>138</v>
      </c>
      <c r="C196" s="1195" t="s">
        <v>159</v>
      </c>
      <c r="D196" s="1204">
        <v>1235440</v>
      </c>
      <c r="E196" s="1204">
        <v>123544</v>
      </c>
      <c r="F196" s="1205">
        <v>1358984</v>
      </c>
      <c r="G196" s="1198">
        <v>1235440</v>
      </c>
      <c r="H196" s="1199">
        <v>123544</v>
      </c>
      <c r="I196" s="1199">
        <v>1358984</v>
      </c>
      <c r="J196" s="1200" t="s">
        <v>2125</v>
      </c>
      <c r="K196" s="1201">
        <f t="shared" si="10"/>
        <v>0</v>
      </c>
      <c r="L196" s="1119"/>
      <c r="M196" s="1118"/>
      <c r="N196" s="1118"/>
    </row>
    <row r="197" spans="2:14" ht="15" customHeight="1">
      <c r="B197" s="1203" t="s">
        <v>138</v>
      </c>
      <c r="C197" s="1195" t="s">
        <v>160</v>
      </c>
      <c r="D197" s="1204">
        <v>51400</v>
      </c>
      <c r="E197" s="1204">
        <v>0</v>
      </c>
      <c r="F197" s="1205">
        <v>51400</v>
      </c>
      <c r="G197" s="1198">
        <v>51400</v>
      </c>
      <c r="H197" s="1199">
        <v>0</v>
      </c>
      <c r="I197" s="1199">
        <v>51400</v>
      </c>
      <c r="J197" s="1200" t="s">
        <v>2125</v>
      </c>
      <c r="K197" s="1201">
        <f t="shared" si="10"/>
        <v>0</v>
      </c>
      <c r="L197" s="1119"/>
      <c r="M197" s="1118"/>
      <c r="N197" s="1118"/>
    </row>
    <row r="198" spans="2:14" ht="15" customHeight="1">
      <c r="B198" s="1203" t="s">
        <v>138</v>
      </c>
      <c r="C198" s="1195" t="s">
        <v>155</v>
      </c>
      <c r="D198" s="1204">
        <v>12660</v>
      </c>
      <c r="E198" s="1204">
        <v>1266</v>
      </c>
      <c r="F198" s="1205">
        <v>13926</v>
      </c>
      <c r="G198" s="1198">
        <v>12660</v>
      </c>
      <c r="H198" s="1199">
        <v>1266</v>
      </c>
      <c r="I198" s="1199">
        <v>13926</v>
      </c>
      <c r="J198" s="1200" t="s">
        <v>2125</v>
      </c>
      <c r="K198" s="1201">
        <f t="shared" si="10"/>
        <v>0</v>
      </c>
      <c r="L198" s="1119"/>
      <c r="M198" s="1118"/>
      <c r="N198" s="1118"/>
    </row>
    <row r="199" spans="2:14" ht="15" customHeight="1">
      <c r="B199" s="1203" t="s">
        <v>138</v>
      </c>
      <c r="C199" s="1195" t="s">
        <v>156</v>
      </c>
      <c r="D199" s="1196">
        <v>520</v>
      </c>
      <c r="E199" s="1196">
        <v>0</v>
      </c>
      <c r="F199" s="1197">
        <v>520</v>
      </c>
      <c r="G199" s="1198">
        <v>520</v>
      </c>
      <c r="H199" s="1199">
        <v>0</v>
      </c>
      <c r="I199" s="1199">
        <v>520</v>
      </c>
      <c r="J199" s="1200" t="s">
        <v>2125</v>
      </c>
      <c r="K199" s="1201">
        <f t="shared" si="10"/>
        <v>0</v>
      </c>
      <c r="L199" s="1119"/>
      <c r="M199" s="1118"/>
      <c r="N199" s="1118"/>
    </row>
    <row r="200" spans="2:14" ht="15" customHeight="1">
      <c r="B200" s="1203" t="s">
        <v>139</v>
      </c>
      <c r="C200" s="1195" t="s">
        <v>155</v>
      </c>
      <c r="D200" s="1196">
        <v>154830</v>
      </c>
      <c r="E200" s="1196">
        <v>15483</v>
      </c>
      <c r="F200" s="1197">
        <v>170313</v>
      </c>
      <c r="G200" s="1198">
        <v>154830</v>
      </c>
      <c r="H200" s="1199">
        <v>15483</v>
      </c>
      <c r="I200" s="1199">
        <v>170313</v>
      </c>
      <c r="J200" s="1200" t="s">
        <v>2125</v>
      </c>
      <c r="K200" s="1201">
        <f t="shared" si="10"/>
        <v>0</v>
      </c>
      <c r="L200" s="1128"/>
      <c r="M200" s="1118"/>
      <c r="N200" s="1202"/>
    </row>
    <row r="201" spans="2:14" ht="15" customHeight="1">
      <c r="B201" s="1203" t="s">
        <v>139</v>
      </c>
      <c r="C201" s="1195" t="s">
        <v>156</v>
      </c>
      <c r="D201" s="1196">
        <v>6440</v>
      </c>
      <c r="E201" s="1196">
        <v>0</v>
      </c>
      <c r="F201" s="1197">
        <v>6440</v>
      </c>
      <c r="G201" s="1198">
        <v>6440</v>
      </c>
      <c r="H201" s="1199">
        <v>0</v>
      </c>
      <c r="I201" s="1199">
        <v>6440</v>
      </c>
      <c r="J201" s="1200" t="s">
        <v>2125</v>
      </c>
      <c r="K201" s="1201">
        <f t="shared" si="10"/>
        <v>0</v>
      </c>
      <c r="L201" s="1212"/>
      <c r="M201" s="1118"/>
      <c r="N201" s="1202"/>
    </row>
    <row r="202" spans="2:14" ht="15" customHeight="1">
      <c r="B202" s="1203" t="s">
        <v>139</v>
      </c>
      <c r="C202" s="1195" t="s">
        <v>159</v>
      </c>
      <c r="D202" s="1196">
        <v>403220</v>
      </c>
      <c r="E202" s="1196">
        <v>40322</v>
      </c>
      <c r="F202" s="1197">
        <v>443542</v>
      </c>
      <c r="G202" s="1198">
        <v>403220</v>
      </c>
      <c r="H202" s="1199">
        <v>40322</v>
      </c>
      <c r="I202" s="1199">
        <v>443542</v>
      </c>
      <c r="J202" s="1200" t="s">
        <v>2125</v>
      </c>
      <c r="K202" s="1201">
        <f t="shared" si="10"/>
        <v>0</v>
      </c>
      <c r="L202" s="1128"/>
      <c r="M202" s="1118"/>
      <c r="N202" s="1202"/>
    </row>
    <row r="203" spans="2:14" ht="15" customHeight="1">
      <c r="B203" s="1203" t="s">
        <v>139</v>
      </c>
      <c r="C203" s="1195" t="s">
        <v>160</v>
      </c>
      <c r="D203" s="1196">
        <v>16770</v>
      </c>
      <c r="E203" s="1196">
        <v>0</v>
      </c>
      <c r="F203" s="1197">
        <v>16770</v>
      </c>
      <c r="G203" s="1213">
        <v>16770</v>
      </c>
      <c r="H203" s="1196">
        <v>0</v>
      </c>
      <c r="I203" s="1196">
        <v>16770</v>
      </c>
      <c r="J203" s="1200" t="s">
        <v>2125</v>
      </c>
      <c r="K203" s="1201">
        <f t="shared" si="10"/>
        <v>0</v>
      </c>
      <c r="L203" s="1128"/>
      <c r="M203" s="1118"/>
      <c r="N203" s="1202"/>
    </row>
    <row r="204" spans="2:14" ht="15" customHeight="1">
      <c r="B204" s="1203" t="s">
        <v>476</v>
      </c>
      <c r="C204" s="1195" t="s">
        <v>155</v>
      </c>
      <c r="D204" s="1204">
        <v>240450</v>
      </c>
      <c r="E204" s="1196">
        <v>24045</v>
      </c>
      <c r="F204" s="1197">
        <v>264495</v>
      </c>
      <c r="G204" s="1214">
        <v>240450</v>
      </c>
      <c r="H204" s="1196">
        <v>24045</v>
      </c>
      <c r="I204" s="1196">
        <v>264495</v>
      </c>
      <c r="J204" s="1200"/>
      <c r="K204" s="1201">
        <f t="shared" si="10"/>
        <v>0</v>
      </c>
      <c r="L204" s="1119"/>
      <c r="M204" s="1118"/>
      <c r="N204" s="1118"/>
    </row>
    <row r="205" spans="2:14" ht="15" customHeight="1">
      <c r="B205" s="1203" t="s">
        <v>476</v>
      </c>
      <c r="C205" s="1195" t="s">
        <v>156</v>
      </c>
      <c r="D205" s="1204">
        <v>10000</v>
      </c>
      <c r="E205" s="1196">
        <v>0</v>
      </c>
      <c r="F205" s="1197">
        <v>10000</v>
      </c>
      <c r="G205" s="1214">
        <v>10000</v>
      </c>
      <c r="H205" s="1196">
        <v>0</v>
      </c>
      <c r="I205" s="1196">
        <v>10000</v>
      </c>
      <c r="J205" s="1200"/>
      <c r="K205" s="1201">
        <f t="shared" si="10"/>
        <v>0</v>
      </c>
      <c r="L205" s="1119"/>
      <c r="M205" s="1118"/>
      <c r="N205" s="1118"/>
    </row>
    <row r="206" spans="2:14" ht="15" customHeight="1">
      <c r="B206" s="1203" t="s">
        <v>476</v>
      </c>
      <c r="C206" s="1195" t="s">
        <v>155</v>
      </c>
      <c r="D206" s="1204">
        <v>60210</v>
      </c>
      <c r="E206" s="1196">
        <v>6021</v>
      </c>
      <c r="F206" s="1197">
        <v>66231</v>
      </c>
      <c r="G206" s="1214">
        <v>60210</v>
      </c>
      <c r="H206" s="1196">
        <v>6021</v>
      </c>
      <c r="I206" s="1196">
        <v>66231</v>
      </c>
      <c r="J206" s="1200"/>
      <c r="K206" s="1201">
        <f t="shared" si="10"/>
        <v>0</v>
      </c>
      <c r="L206" s="1119"/>
      <c r="M206" s="1118"/>
      <c r="N206" s="1118"/>
    </row>
    <row r="207" spans="2:14" ht="15" customHeight="1">
      <c r="B207" s="1194" t="s">
        <v>476</v>
      </c>
      <c r="C207" s="1195" t="s">
        <v>156</v>
      </c>
      <c r="D207" s="1196">
        <v>2500</v>
      </c>
      <c r="E207" s="1196">
        <v>0</v>
      </c>
      <c r="F207" s="1197">
        <v>2500</v>
      </c>
      <c r="G207" s="1198">
        <v>2500</v>
      </c>
      <c r="H207" s="1199">
        <v>0</v>
      </c>
      <c r="I207" s="1199">
        <v>2500</v>
      </c>
      <c r="J207" s="1200"/>
      <c r="K207" s="1201">
        <f t="shared" si="10"/>
        <v>0</v>
      </c>
      <c r="L207" s="1118"/>
      <c r="M207" s="1118"/>
      <c r="N207" s="1118"/>
    </row>
    <row r="208" spans="2:14" ht="15" customHeight="1">
      <c r="B208" s="1194" t="s">
        <v>476</v>
      </c>
      <c r="C208" s="1195" t="s">
        <v>157</v>
      </c>
      <c r="D208" s="1196">
        <v>0</v>
      </c>
      <c r="E208" s="1196">
        <v>0</v>
      </c>
      <c r="F208" s="1197">
        <v>0</v>
      </c>
      <c r="G208" s="1198">
        <v>0</v>
      </c>
      <c r="H208" s="1199">
        <v>0</v>
      </c>
      <c r="I208" s="1199">
        <v>0</v>
      </c>
      <c r="J208" s="1200"/>
      <c r="K208" s="1201">
        <f t="shared" si="10"/>
        <v>0</v>
      </c>
      <c r="L208" s="1119"/>
      <c r="M208" s="1118"/>
      <c r="N208" s="1118"/>
    </row>
    <row r="209" spans="1:18" ht="15" customHeight="1">
      <c r="B209" s="1194" t="s">
        <v>477</v>
      </c>
      <c r="C209" s="1195" t="s">
        <v>155</v>
      </c>
      <c r="D209" s="1196">
        <v>70940</v>
      </c>
      <c r="E209" s="1196">
        <v>7094</v>
      </c>
      <c r="F209" s="1197">
        <v>78034</v>
      </c>
      <c r="G209" s="1198">
        <v>70940</v>
      </c>
      <c r="H209" s="1199">
        <v>7094</v>
      </c>
      <c r="I209" s="1199">
        <v>78034</v>
      </c>
      <c r="J209" s="1200" t="s">
        <v>2121</v>
      </c>
      <c r="K209" s="1201">
        <f t="shared" si="10"/>
        <v>0</v>
      </c>
      <c r="L209" s="1119"/>
      <c r="M209" s="1118"/>
      <c r="N209" s="1118"/>
    </row>
    <row r="210" spans="1:18" ht="15" customHeight="1">
      <c r="B210" s="1194" t="s">
        <v>477</v>
      </c>
      <c r="C210" s="1195" t="s">
        <v>156</v>
      </c>
      <c r="D210" s="1196">
        <v>2950</v>
      </c>
      <c r="E210" s="1196">
        <v>0</v>
      </c>
      <c r="F210" s="1197">
        <v>2950</v>
      </c>
      <c r="G210" s="1198">
        <v>2950</v>
      </c>
      <c r="H210" s="1199">
        <v>0</v>
      </c>
      <c r="I210" s="1199">
        <v>2950</v>
      </c>
      <c r="J210" s="1200" t="s">
        <v>2121</v>
      </c>
      <c r="K210" s="1201">
        <f t="shared" ref="K210:K273" si="11">+F210-I210</f>
        <v>0</v>
      </c>
      <c r="L210" s="1119"/>
      <c r="M210" s="1118"/>
      <c r="N210" s="1118"/>
    </row>
    <row r="211" spans="1:18" s="1120" customFormat="1" ht="15" customHeight="1">
      <c r="A211" s="1078"/>
      <c r="B211" s="1194" t="s">
        <v>477</v>
      </c>
      <c r="C211" s="1195" t="s">
        <v>157</v>
      </c>
      <c r="D211" s="1196">
        <v>577500</v>
      </c>
      <c r="E211" s="1196">
        <v>57750</v>
      </c>
      <c r="F211" s="1197">
        <v>635250</v>
      </c>
      <c r="G211" s="1198">
        <v>577500</v>
      </c>
      <c r="H211" s="1199">
        <v>57750</v>
      </c>
      <c r="I211" s="1199">
        <v>635250</v>
      </c>
      <c r="J211" s="1200" t="s">
        <v>2121</v>
      </c>
      <c r="K211" s="1201">
        <f t="shared" si="11"/>
        <v>0</v>
      </c>
      <c r="L211" s="1119"/>
      <c r="M211" s="1118"/>
      <c r="N211" s="1118"/>
      <c r="O211" s="1078"/>
    </row>
    <row r="212" spans="1:18" ht="15" customHeight="1">
      <c r="B212" s="1194" t="s">
        <v>140</v>
      </c>
      <c r="C212" s="1195" t="s">
        <v>155</v>
      </c>
      <c r="D212" s="1196">
        <v>249550</v>
      </c>
      <c r="E212" s="1196">
        <v>24955</v>
      </c>
      <c r="F212" s="1197">
        <v>274505</v>
      </c>
      <c r="G212" s="1198">
        <v>249550</v>
      </c>
      <c r="H212" s="1199">
        <v>24955</v>
      </c>
      <c r="I212" s="1199">
        <v>274505</v>
      </c>
      <c r="J212" s="1200" t="s">
        <v>2125</v>
      </c>
      <c r="K212" s="1201">
        <f t="shared" si="11"/>
        <v>0</v>
      </c>
      <c r="L212" s="1119"/>
      <c r="M212" s="1118"/>
      <c r="N212" s="1118"/>
    </row>
    <row r="213" spans="1:18" ht="15" customHeight="1">
      <c r="B213" s="1194" t="s">
        <v>140</v>
      </c>
      <c r="C213" s="1195" t="s">
        <v>156</v>
      </c>
      <c r="D213" s="1196">
        <v>10380</v>
      </c>
      <c r="E213" s="1196">
        <v>0</v>
      </c>
      <c r="F213" s="1197">
        <v>10380</v>
      </c>
      <c r="G213" s="1198">
        <v>10380</v>
      </c>
      <c r="H213" s="1199">
        <v>0</v>
      </c>
      <c r="I213" s="1199">
        <v>10380</v>
      </c>
      <c r="J213" s="1200" t="s">
        <v>2125</v>
      </c>
      <c r="K213" s="1201">
        <f t="shared" si="11"/>
        <v>0</v>
      </c>
      <c r="L213" s="1119"/>
      <c r="M213" s="1118"/>
      <c r="N213" s="1118"/>
    </row>
    <row r="214" spans="1:18" ht="15" customHeight="1">
      <c r="B214" s="1194" t="s">
        <v>140</v>
      </c>
      <c r="C214" s="1195" t="s">
        <v>157</v>
      </c>
      <c r="D214" s="1196">
        <v>0</v>
      </c>
      <c r="E214" s="1196">
        <v>0</v>
      </c>
      <c r="F214" s="1197">
        <v>0</v>
      </c>
      <c r="G214" s="1198">
        <v>0</v>
      </c>
      <c r="H214" s="1199">
        <v>0</v>
      </c>
      <c r="I214" s="1199">
        <v>0</v>
      </c>
      <c r="J214" s="1200" t="s">
        <v>2125</v>
      </c>
      <c r="K214" s="1201">
        <f t="shared" si="11"/>
        <v>0</v>
      </c>
      <c r="L214" s="1119"/>
      <c r="M214" s="1118"/>
      <c r="N214" s="1118"/>
    </row>
    <row r="215" spans="1:18" ht="15" customHeight="1">
      <c r="B215" s="1194" t="s">
        <v>158</v>
      </c>
      <c r="C215" s="1195" t="s">
        <v>155</v>
      </c>
      <c r="D215" s="1196">
        <v>358850</v>
      </c>
      <c r="E215" s="1196">
        <v>35885</v>
      </c>
      <c r="F215" s="1197">
        <v>394735</v>
      </c>
      <c r="G215" s="1198">
        <v>358850</v>
      </c>
      <c r="H215" s="1199">
        <v>35885</v>
      </c>
      <c r="I215" s="1199">
        <v>394735</v>
      </c>
      <c r="J215" s="1200" t="s">
        <v>2122</v>
      </c>
      <c r="K215" s="1201">
        <f t="shared" si="11"/>
        <v>0</v>
      </c>
      <c r="L215" s="1119"/>
      <c r="M215" s="1118"/>
      <c r="N215" s="1118"/>
    </row>
    <row r="216" spans="1:18" ht="15" customHeight="1">
      <c r="B216" s="1215" t="s">
        <v>158</v>
      </c>
      <c r="C216" s="1195" t="s">
        <v>156</v>
      </c>
      <c r="D216" s="1196">
        <v>14930</v>
      </c>
      <c r="E216" s="1196">
        <v>0</v>
      </c>
      <c r="F216" s="1197">
        <v>14930</v>
      </c>
      <c r="G216" s="1198">
        <v>14930</v>
      </c>
      <c r="H216" s="1199">
        <v>0</v>
      </c>
      <c r="I216" s="1199">
        <v>14930</v>
      </c>
      <c r="J216" s="1200" t="s">
        <v>2122</v>
      </c>
      <c r="K216" s="1201">
        <f t="shared" si="11"/>
        <v>0</v>
      </c>
      <c r="L216" s="1119"/>
      <c r="M216" s="1118"/>
      <c r="N216" s="1118"/>
    </row>
    <row r="217" spans="1:18" ht="15" customHeight="1">
      <c r="B217" s="1215" t="s">
        <v>158</v>
      </c>
      <c r="C217" s="1195" t="s">
        <v>159</v>
      </c>
      <c r="D217" s="1196">
        <v>3985740</v>
      </c>
      <c r="E217" s="1196">
        <v>398574</v>
      </c>
      <c r="F217" s="1197">
        <v>4384314</v>
      </c>
      <c r="G217" s="1198">
        <v>3985740</v>
      </c>
      <c r="H217" s="1199">
        <v>398574</v>
      </c>
      <c r="I217" s="1199">
        <v>4384314</v>
      </c>
      <c r="J217" s="1200" t="s">
        <v>2122</v>
      </c>
      <c r="K217" s="1201">
        <f t="shared" si="11"/>
        <v>0</v>
      </c>
      <c r="L217" s="1119"/>
      <c r="M217" s="1118"/>
      <c r="N217" s="1118"/>
    </row>
    <row r="218" spans="1:18" ht="15" customHeight="1">
      <c r="B218" s="1215" t="s">
        <v>158</v>
      </c>
      <c r="C218" s="1195" t="s">
        <v>160</v>
      </c>
      <c r="D218" s="1196">
        <v>165830</v>
      </c>
      <c r="E218" s="1196">
        <v>0</v>
      </c>
      <c r="F218" s="1197">
        <v>165830</v>
      </c>
      <c r="G218" s="1198">
        <v>165830</v>
      </c>
      <c r="H218" s="1199">
        <v>0</v>
      </c>
      <c r="I218" s="1199">
        <v>165830</v>
      </c>
      <c r="J218" s="1200" t="s">
        <v>2122</v>
      </c>
      <c r="K218" s="1201">
        <f t="shared" si="11"/>
        <v>0</v>
      </c>
      <c r="L218" s="1119"/>
      <c r="M218" s="1118"/>
      <c r="N218" s="1118"/>
    </row>
    <row r="219" spans="1:18" ht="15" customHeight="1">
      <c r="B219" s="1215" t="s">
        <v>158</v>
      </c>
      <c r="C219" s="1195" t="s">
        <v>157</v>
      </c>
      <c r="D219" s="1196">
        <v>1890000</v>
      </c>
      <c r="E219" s="1196">
        <v>189000</v>
      </c>
      <c r="F219" s="1197">
        <v>2079000</v>
      </c>
      <c r="G219" s="1198">
        <v>1890000</v>
      </c>
      <c r="H219" s="1199">
        <v>189000</v>
      </c>
      <c r="I219" s="1199">
        <v>2079000</v>
      </c>
      <c r="J219" s="1200" t="s">
        <v>2122</v>
      </c>
      <c r="K219" s="1201">
        <f t="shared" si="11"/>
        <v>0</v>
      </c>
      <c r="L219" s="1119"/>
      <c r="M219" s="1118"/>
      <c r="N219" s="1118"/>
    </row>
    <row r="220" spans="1:18" ht="15" customHeight="1">
      <c r="B220" s="1215" t="s">
        <v>141</v>
      </c>
      <c r="C220" s="1195" t="s">
        <v>155</v>
      </c>
      <c r="D220" s="1196">
        <v>26460</v>
      </c>
      <c r="E220" s="1196">
        <v>2646</v>
      </c>
      <c r="F220" s="1197">
        <v>29106</v>
      </c>
      <c r="G220" s="1198">
        <v>26460</v>
      </c>
      <c r="H220" s="1199">
        <v>2646</v>
      </c>
      <c r="I220" s="1199">
        <v>29106</v>
      </c>
      <c r="J220" s="1200" t="s">
        <v>2126</v>
      </c>
      <c r="K220" s="1201">
        <f t="shared" si="11"/>
        <v>0</v>
      </c>
      <c r="L220" s="1119"/>
      <c r="M220" s="1118"/>
      <c r="N220" s="1118"/>
    </row>
    <row r="221" spans="1:18" ht="15" customHeight="1">
      <c r="B221" s="1215" t="s">
        <v>141</v>
      </c>
      <c r="C221" s="1209" t="s">
        <v>156</v>
      </c>
      <c r="D221" s="1196">
        <v>1100</v>
      </c>
      <c r="E221" s="1196">
        <v>0</v>
      </c>
      <c r="F221" s="1197">
        <v>1100</v>
      </c>
      <c r="G221" s="1213">
        <v>1100</v>
      </c>
      <c r="H221" s="1196">
        <v>0</v>
      </c>
      <c r="I221" s="1196">
        <v>1100</v>
      </c>
      <c r="J221" s="1200" t="s">
        <v>2126</v>
      </c>
      <c r="K221" s="1201">
        <f t="shared" si="11"/>
        <v>0</v>
      </c>
      <c r="L221" s="1119"/>
      <c r="M221" s="1118"/>
      <c r="N221" s="1118"/>
    </row>
    <row r="222" spans="1:18" ht="15" customHeight="1">
      <c r="B222" s="1215" t="s">
        <v>141</v>
      </c>
      <c r="C222" s="1209" t="s">
        <v>157</v>
      </c>
      <c r="D222" s="1196">
        <v>0</v>
      </c>
      <c r="E222" s="1196">
        <v>0</v>
      </c>
      <c r="F222" s="1197">
        <v>0</v>
      </c>
      <c r="G222" s="1213"/>
      <c r="H222" s="1196"/>
      <c r="I222" s="1196"/>
      <c r="J222" s="1200" t="s">
        <v>2126</v>
      </c>
      <c r="K222" s="1201">
        <f t="shared" si="11"/>
        <v>0</v>
      </c>
      <c r="L222" s="1119"/>
      <c r="M222" s="1118"/>
      <c r="N222" s="1118"/>
    </row>
    <row r="223" spans="1:18" ht="15" customHeight="1">
      <c r="B223" s="1215" t="s">
        <v>126</v>
      </c>
      <c r="C223" s="1195" t="s">
        <v>155</v>
      </c>
      <c r="D223" s="1196">
        <v>213540</v>
      </c>
      <c r="E223" s="1196">
        <v>21354</v>
      </c>
      <c r="F223" s="1197">
        <v>234894</v>
      </c>
      <c r="G223" s="1198">
        <v>213540</v>
      </c>
      <c r="H223" s="1199">
        <v>21354</v>
      </c>
      <c r="I223" s="1199">
        <v>234894</v>
      </c>
      <c r="J223" s="1200" t="s">
        <v>2124</v>
      </c>
      <c r="K223" s="1201">
        <f t="shared" si="11"/>
        <v>0</v>
      </c>
      <c r="L223" s="1119"/>
      <c r="M223" s="1118"/>
      <c r="N223" s="1118"/>
    </row>
    <row r="224" spans="1:18" ht="15" customHeight="1">
      <c r="B224" s="1194" t="s">
        <v>126</v>
      </c>
      <c r="C224" s="1195" t="s">
        <v>156</v>
      </c>
      <c r="D224" s="1196">
        <v>8870</v>
      </c>
      <c r="E224" s="1196">
        <v>0</v>
      </c>
      <c r="F224" s="1197">
        <v>8870</v>
      </c>
      <c r="G224" s="1198">
        <v>8870</v>
      </c>
      <c r="H224" s="1199">
        <v>0</v>
      </c>
      <c r="I224" s="1199">
        <v>8870</v>
      </c>
      <c r="J224" s="1200" t="s">
        <v>2124</v>
      </c>
      <c r="K224" s="1201">
        <f t="shared" si="11"/>
        <v>0</v>
      </c>
      <c r="L224" s="1119"/>
      <c r="M224" s="1118"/>
      <c r="N224" s="1118"/>
      <c r="P224" s="1216"/>
      <c r="Q224" s="1216"/>
      <c r="R224" s="1216"/>
    </row>
    <row r="225" spans="2:16" ht="15" customHeight="1">
      <c r="B225" s="1194" t="s">
        <v>473</v>
      </c>
      <c r="C225" s="1195" t="s">
        <v>155</v>
      </c>
      <c r="D225" s="1196">
        <v>484970</v>
      </c>
      <c r="E225" s="1196">
        <v>48497</v>
      </c>
      <c r="F225" s="1197">
        <v>533467</v>
      </c>
      <c r="G225" s="1198">
        <v>484970</v>
      </c>
      <c r="H225" s="1199">
        <v>48497</v>
      </c>
      <c r="I225" s="1199">
        <v>533467</v>
      </c>
      <c r="J225" s="1200" t="s">
        <v>2121</v>
      </c>
      <c r="K225" s="1201">
        <f t="shared" si="11"/>
        <v>0</v>
      </c>
      <c r="L225" s="1119"/>
      <c r="M225" s="1118"/>
      <c r="N225" s="1118"/>
      <c r="P225" s="1216"/>
    </row>
    <row r="226" spans="2:16" ht="15" customHeight="1">
      <c r="B226" s="1203" t="s">
        <v>473</v>
      </c>
      <c r="C226" s="1195" t="s">
        <v>156</v>
      </c>
      <c r="D226" s="1196">
        <v>20170</v>
      </c>
      <c r="E226" s="1196">
        <v>0</v>
      </c>
      <c r="F226" s="1197">
        <v>20170</v>
      </c>
      <c r="G226" s="1198">
        <v>20170</v>
      </c>
      <c r="H226" s="1199">
        <v>0</v>
      </c>
      <c r="I226" s="1199">
        <v>20170</v>
      </c>
      <c r="J226" s="1200" t="s">
        <v>2121</v>
      </c>
      <c r="K226" s="1201">
        <f t="shared" si="11"/>
        <v>0</v>
      </c>
      <c r="L226" s="1119"/>
      <c r="M226" s="1118"/>
      <c r="N226" s="1118"/>
    </row>
    <row r="227" spans="2:16" ht="15" customHeight="1">
      <c r="B227" s="1203" t="s">
        <v>473</v>
      </c>
      <c r="C227" s="1195" t="s">
        <v>157</v>
      </c>
      <c r="D227" s="1196">
        <v>0</v>
      </c>
      <c r="E227" s="1196">
        <v>0</v>
      </c>
      <c r="F227" s="1197">
        <v>0</v>
      </c>
      <c r="G227" s="1198">
        <v>0</v>
      </c>
      <c r="H227" s="1199">
        <v>0</v>
      </c>
      <c r="I227" s="1199">
        <v>0</v>
      </c>
      <c r="J227" s="1200" t="s">
        <v>2121</v>
      </c>
      <c r="K227" s="1201">
        <f t="shared" si="11"/>
        <v>0</v>
      </c>
      <c r="L227" s="1119"/>
      <c r="M227" s="1118"/>
      <c r="N227" s="1118"/>
    </row>
    <row r="228" spans="2:16" ht="15" customHeight="1">
      <c r="B228" s="1203" t="s">
        <v>142</v>
      </c>
      <c r="C228" s="1195" t="s">
        <v>155</v>
      </c>
      <c r="D228" s="1196">
        <v>47740</v>
      </c>
      <c r="E228" s="1196">
        <v>4774</v>
      </c>
      <c r="F228" s="1197">
        <v>52514</v>
      </c>
      <c r="G228" s="1198">
        <v>47740</v>
      </c>
      <c r="H228" s="1199">
        <v>4774</v>
      </c>
      <c r="I228" s="1199">
        <v>52514</v>
      </c>
      <c r="J228" s="1200" t="s">
        <v>2122</v>
      </c>
      <c r="K228" s="1201">
        <f t="shared" si="11"/>
        <v>0</v>
      </c>
      <c r="L228" s="1119"/>
      <c r="M228" s="1118"/>
      <c r="N228" s="1118"/>
    </row>
    <row r="229" spans="2:16" ht="15" customHeight="1">
      <c r="B229" s="1194" t="s">
        <v>142</v>
      </c>
      <c r="C229" s="1195" t="s">
        <v>156</v>
      </c>
      <c r="D229" s="1196">
        <v>1980</v>
      </c>
      <c r="E229" s="1196">
        <v>0</v>
      </c>
      <c r="F229" s="1197">
        <v>1980</v>
      </c>
      <c r="G229" s="1198">
        <v>1980</v>
      </c>
      <c r="H229" s="1199">
        <v>0</v>
      </c>
      <c r="I229" s="1199">
        <v>1980</v>
      </c>
      <c r="J229" s="1200" t="s">
        <v>2122</v>
      </c>
      <c r="K229" s="1201">
        <f t="shared" si="11"/>
        <v>0</v>
      </c>
      <c r="L229" s="1119"/>
      <c r="M229" s="1118"/>
      <c r="N229" s="1118"/>
    </row>
    <row r="230" spans="2:16" ht="15" customHeight="1">
      <c r="B230" s="1194" t="s">
        <v>142</v>
      </c>
      <c r="C230" s="1195" t="s">
        <v>157</v>
      </c>
      <c r="D230" s="1196">
        <v>0</v>
      </c>
      <c r="E230" s="1196">
        <v>0</v>
      </c>
      <c r="F230" s="1197">
        <v>0</v>
      </c>
      <c r="G230" s="1198">
        <v>0</v>
      </c>
      <c r="H230" s="1199">
        <v>0</v>
      </c>
      <c r="I230" s="1199">
        <v>0</v>
      </c>
      <c r="J230" s="1200" t="s">
        <v>2122</v>
      </c>
      <c r="K230" s="1201">
        <f t="shared" si="11"/>
        <v>0</v>
      </c>
      <c r="L230" s="1119"/>
      <c r="M230" s="1118"/>
      <c r="N230" s="1118"/>
    </row>
    <row r="231" spans="2:16" ht="15" customHeight="1">
      <c r="B231" s="1194" t="s">
        <v>143</v>
      </c>
      <c r="C231" s="1217" t="s">
        <v>155</v>
      </c>
      <c r="D231" s="1196">
        <v>187230</v>
      </c>
      <c r="E231" s="1196">
        <v>18723</v>
      </c>
      <c r="F231" s="1197">
        <v>205953</v>
      </c>
      <c r="G231" s="1198">
        <v>187230</v>
      </c>
      <c r="H231" s="1199">
        <v>18723</v>
      </c>
      <c r="I231" s="1199">
        <v>205953</v>
      </c>
      <c r="J231" s="1200" t="s">
        <v>2120</v>
      </c>
      <c r="K231" s="1201">
        <f t="shared" si="11"/>
        <v>0</v>
      </c>
      <c r="L231" s="1119"/>
      <c r="M231" s="1118"/>
      <c r="N231" s="1118"/>
    </row>
    <row r="232" spans="2:16" ht="15" customHeight="1">
      <c r="B232" s="1194" t="s">
        <v>143</v>
      </c>
      <c r="C232" s="1195" t="s">
        <v>156</v>
      </c>
      <c r="D232" s="1196">
        <v>7790</v>
      </c>
      <c r="E232" s="1196">
        <v>0</v>
      </c>
      <c r="F232" s="1197">
        <v>7790</v>
      </c>
      <c r="G232" s="1198">
        <v>7790</v>
      </c>
      <c r="H232" s="1199">
        <v>0</v>
      </c>
      <c r="I232" s="1199">
        <v>7790</v>
      </c>
      <c r="J232" s="1200" t="s">
        <v>2120</v>
      </c>
      <c r="K232" s="1201">
        <f t="shared" si="11"/>
        <v>0</v>
      </c>
      <c r="L232" s="1119"/>
      <c r="M232" s="1118"/>
      <c r="N232" s="1118"/>
    </row>
    <row r="233" spans="2:16" ht="15" customHeight="1">
      <c r="B233" s="1194" t="s">
        <v>143</v>
      </c>
      <c r="C233" s="1195" t="s">
        <v>157</v>
      </c>
      <c r="D233" s="1196">
        <v>0</v>
      </c>
      <c r="E233" s="1196">
        <v>0</v>
      </c>
      <c r="F233" s="1197">
        <v>0</v>
      </c>
      <c r="G233" s="1198">
        <v>0</v>
      </c>
      <c r="H233" s="1199">
        <v>0</v>
      </c>
      <c r="I233" s="1199">
        <v>0</v>
      </c>
      <c r="J233" s="1200" t="s">
        <v>2120</v>
      </c>
      <c r="K233" s="1201">
        <f t="shared" si="11"/>
        <v>0</v>
      </c>
      <c r="L233" s="1119"/>
      <c r="M233" s="1118"/>
      <c r="N233" s="1118"/>
    </row>
    <row r="234" spans="2:16" ht="15" customHeight="1">
      <c r="B234" s="1194" t="s">
        <v>161</v>
      </c>
      <c r="C234" s="1217" t="s">
        <v>155</v>
      </c>
      <c r="D234" s="1196">
        <v>0</v>
      </c>
      <c r="E234" s="1196">
        <v>0</v>
      </c>
      <c r="F234" s="1197">
        <v>0</v>
      </c>
      <c r="G234" s="1198">
        <v>0</v>
      </c>
      <c r="H234" s="1199">
        <v>0</v>
      </c>
      <c r="I234" s="1199">
        <v>0</v>
      </c>
      <c r="J234" s="1200" t="s">
        <v>2127</v>
      </c>
      <c r="K234" s="1201">
        <f t="shared" si="11"/>
        <v>0</v>
      </c>
      <c r="L234" s="1119"/>
      <c r="M234" s="1118"/>
      <c r="N234" s="1118"/>
    </row>
    <row r="235" spans="2:16" ht="15" customHeight="1">
      <c r="B235" s="1194" t="s">
        <v>161</v>
      </c>
      <c r="C235" s="1217" t="s">
        <v>156</v>
      </c>
      <c r="D235" s="1196">
        <v>0</v>
      </c>
      <c r="E235" s="1196">
        <v>0</v>
      </c>
      <c r="F235" s="1197">
        <v>0</v>
      </c>
      <c r="G235" s="1198">
        <v>0</v>
      </c>
      <c r="H235" s="1199">
        <v>0</v>
      </c>
      <c r="I235" s="1199">
        <v>0</v>
      </c>
      <c r="J235" s="1200" t="s">
        <v>2127</v>
      </c>
      <c r="K235" s="1201">
        <f t="shared" si="11"/>
        <v>0</v>
      </c>
      <c r="L235" s="1119"/>
      <c r="M235" s="1118"/>
      <c r="N235" s="1118"/>
    </row>
    <row r="236" spans="2:16" ht="15" customHeight="1">
      <c r="B236" s="1194" t="s">
        <v>161</v>
      </c>
      <c r="C236" s="1217" t="s">
        <v>157</v>
      </c>
      <c r="D236" s="1196">
        <v>0</v>
      </c>
      <c r="E236" s="1196">
        <v>0</v>
      </c>
      <c r="F236" s="1197">
        <v>0</v>
      </c>
      <c r="G236" s="1198">
        <v>0</v>
      </c>
      <c r="H236" s="1199">
        <v>0</v>
      </c>
      <c r="I236" s="1199">
        <v>0</v>
      </c>
      <c r="J236" s="1200" t="s">
        <v>2127</v>
      </c>
      <c r="K236" s="1201">
        <f t="shared" si="11"/>
        <v>0</v>
      </c>
      <c r="L236" s="1119"/>
      <c r="M236" s="1118"/>
      <c r="N236" s="1118"/>
    </row>
    <row r="237" spans="2:16" ht="15" customHeight="1">
      <c r="B237" s="1203" t="s">
        <v>161</v>
      </c>
      <c r="C237" s="1195" t="s">
        <v>155</v>
      </c>
      <c r="D237" s="1196">
        <v>0</v>
      </c>
      <c r="E237" s="1196">
        <v>0</v>
      </c>
      <c r="F237" s="1197">
        <v>0</v>
      </c>
      <c r="G237" s="1198">
        <v>0</v>
      </c>
      <c r="H237" s="1199">
        <v>0</v>
      </c>
      <c r="I237" s="1199">
        <v>0</v>
      </c>
      <c r="J237" s="1200" t="s">
        <v>2127</v>
      </c>
      <c r="K237" s="1201">
        <f t="shared" si="11"/>
        <v>0</v>
      </c>
      <c r="L237" s="1119"/>
      <c r="M237" s="1118"/>
      <c r="N237" s="1118"/>
    </row>
    <row r="238" spans="2:16" ht="15" customHeight="1">
      <c r="B238" s="1203" t="s">
        <v>161</v>
      </c>
      <c r="C238" s="1195" t="s">
        <v>156</v>
      </c>
      <c r="D238" s="1196">
        <v>0</v>
      </c>
      <c r="E238" s="1196">
        <v>0</v>
      </c>
      <c r="F238" s="1197">
        <v>0</v>
      </c>
      <c r="G238" s="1198">
        <v>0</v>
      </c>
      <c r="H238" s="1199">
        <v>0</v>
      </c>
      <c r="I238" s="1199">
        <v>0</v>
      </c>
      <c r="J238" s="1200" t="s">
        <v>2127</v>
      </c>
      <c r="K238" s="1201">
        <f t="shared" si="11"/>
        <v>0</v>
      </c>
      <c r="L238" s="1119"/>
      <c r="M238" s="1118"/>
      <c r="N238" s="1118"/>
    </row>
    <row r="239" spans="2:16" ht="15" customHeight="1">
      <c r="B239" s="1194" t="s">
        <v>161</v>
      </c>
      <c r="C239" s="1195" t="s">
        <v>159</v>
      </c>
      <c r="D239" s="1196">
        <v>614890</v>
      </c>
      <c r="E239" s="1196">
        <v>61489</v>
      </c>
      <c r="F239" s="1197">
        <v>676379</v>
      </c>
      <c r="G239" s="1198">
        <v>614890</v>
      </c>
      <c r="H239" s="1199">
        <v>61489</v>
      </c>
      <c r="I239" s="1199">
        <v>676379</v>
      </c>
      <c r="J239" s="1200" t="s">
        <v>2127</v>
      </c>
      <c r="K239" s="1201">
        <f t="shared" si="11"/>
        <v>0</v>
      </c>
      <c r="L239" s="1119"/>
      <c r="M239" s="1118"/>
      <c r="N239" s="1118"/>
    </row>
    <row r="240" spans="2:16" ht="15" customHeight="1">
      <c r="B240" s="1194" t="s">
        <v>161</v>
      </c>
      <c r="C240" s="1195" t="s">
        <v>160</v>
      </c>
      <c r="D240" s="1196">
        <v>25580</v>
      </c>
      <c r="E240" s="1196">
        <v>0</v>
      </c>
      <c r="F240" s="1197">
        <v>25580</v>
      </c>
      <c r="G240" s="1213">
        <v>25580</v>
      </c>
      <c r="H240" s="1196">
        <v>0</v>
      </c>
      <c r="I240" s="1196">
        <v>25580</v>
      </c>
      <c r="J240" s="1200" t="s">
        <v>2127</v>
      </c>
      <c r="K240" s="1201">
        <f t="shared" si="11"/>
        <v>0</v>
      </c>
      <c r="L240" s="1119"/>
      <c r="M240" s="1118"/>
      <c r="N240" s="1118"/>
    </row>
    <row r="241" spans="2:14" ht="15" customHeight="1">
      <c r="B241" s="1194" t="s">
        <v>161</v>
      </c>
      <c r="C241" s="1195" t="s">
        <v>157</v>
      </c>
      <c r="D241" s="1196">
        <v>0</v>
      </c>
      <c r="E241" s="1196">
        <v>0</v>
      </c>
      <c r="F241" s="1197">
        <v>0</v>
      </c>
      <c r="G241" s="1213">
        <v>0</v>
      </c>
      <c r="H241" s="1196">
        <v>0</v>
      </c>
      <c r="I241" s="1196">
        <v>0</v>
      </c>
      <c r="J241" s="1200" t="s">
        <v>2127</v>
      </c>
      <c r="K241" s="1201">
        <f t="shared" si="11"/>
        <v>0</v>
      </c>
      <c r="L241" s="1119"/>
      <c r="M241" s="1118"/>
      <c r="N241" s="1118"/>
    </row>
    <row r="242" spans="2:14" ht="15" customHeight="1">
      <c r="B242" s="1194" t="s">
        <v>126</v>
      </c>
      <c r="C242" s="1195" t="s">
        <v>155</v>
      </c>
      <c r="D242" s="1196">
        <v>256430</v>
      </c>
      <c r="E242" s="1196">
        <v>25643</v>
      </c>
      <c r="F242" s="1197">
        <v>282073</v>
      </c>
      <c r="G242" s="1198">
        <v>256430</v>
      </c>
      <c r="H242" s="1199">
        <v>25643</v>
      </c>
      <c r="I242" s="1199">
        <v>282073</v>
      </c>
      <c r="J242" s="1200" t="s">
        <v>2124</v>
      </c>
      <c r="K242" s="1201">
        <f t="shared" si="11"/>
        <v>0</v>
      </c>
      <c r="L242" s="1119"/>
      <c r="M242" s="1118"/>
      <c r="N242" s="1118"/>
    </row>
    <row r="243" spans="2:14" ht="15" customHeight="1">
      <c r="B243" s="1203" t="s">
        <v>126</v>
      </c>
      <c r="C243" s="1195" t="s">
        <v>156</v>
      </c>
      <c r="D243" s="1196">
        <v>10660</v>
      </c>
      <c r="E243" s="1204">
        <v>0</v>
      </c>
      <c r="F243" s="1197">
        <v>10660</v>
      </c>
      <c r="G243" s="1198">
        <v>10660</v>
      </c>
      <c r="H243" s="1199">
        <v>0</v>
      </c>
      <c r="I243" s="1199">
        <v>10660</v>
      </c>
      <c r="J243" s="1200" t="s">
        <v>2124</v>
      </c>
      <c r="K243" s="1201">
        <f t="shared" si="11"/>
        <v>0</v>
      </c>
      <c r="L243" s="1119"/>
      <c r="M243" s="1118"/>
      <c r="N243" s="1218"/>
    </row>
    <row r="244" spans="2:14" ht="15" customHeight="1">
      <c r="B244" s="1203" t="s">
        <v>144</v>
      </c>
      <c r="C244" s="1195" t="s">
        <v>155</v>
      </c>
      <c r="D244" s="1196">
        <v>482290</v>
      </c>
      <c r="E244" s="1196">
        <v>48229</v>
      </c>
      <c r="F244" s="1197">
        <v>530519</v>
      </c>
      <c r="G244" s="1198">
        <v>482290</v>
      </c>
      <c r="H244" s="1199">
        <v>48229</v>
      </c>
      <c r="I244" s="1199">
        <v>530519</v>
      </c>
      <c r="J244" s="1200" t="s">
        <v>2123</v>
      </c>
      <c r="K244" s="1201">
        <f t="shared" si="11"/>
        <v>0</v>
      </c>
      <c r="L244" s="1119"/>
      <c r="M244" s="1118"/>
      <c r="N244" s="1219"/>
    </row>
    <row r="245" spans="2:14" ht="15" customHeight="1">
      <c r="B245" s="1203" t="s">
        <v>144</v>
      </c>
      <c r="C245" s="1195" t="s">
        <v>156</v>
      </c>
      <c r="D245" s="1204">
        <v>20060</v>
      </c>
      <c r="E245" s="1204">
        <v>0</v>
      </c>
      <c r="F245" s="1205">
        <v>20060</v>
      </c>
      <c r="G245" s="1198">
        <v>20060</v>
      </c>
      <c r="H245" s="1199">
        <v>0</v>
      </c>
      <c r="I245" s="1199">
        <v>20060</v>
      </c>
      <c r="J245" s="1200" t="s">
        <v>2123</v>
      </c>
      <c r="K245" s="1201">
        <f t="shared" si="11"/>
        <v>0</v>
      </c>
      <c r="L245" s="1119"/>
      <c r="M245" s="1118"/>
      <c r="N245" s="1219"/>
    </row>
    <row r="246" spans="2:14" ht="15" customHeight="1">
      <c r="B246" s="1203" t="s">
        <v>144</v>
      </c>
      <c r="C246" s="1195" t="s">
        <v>159</v>
      </c>
      <c r="D246" s="1204">
        <v>118720</v>
      </c>
      <c r="E246" s="1204">
        <v>11872</v>
      </c>
      <c r="F246" s="1206">
        <v>130592</v>
      </c>
      <c r="G246" s="1211">
        <v>118720</v>
      </c>
      <c r="H246" s="1204">
        <v>11872</v>
      </c>
      <c r="I246" s="1205">
        <v>130592</v>
      </c>
      <c r="J246" s="1200" t="s">
        <v>2123</v>
      </c>
      <c r="K246" s="1201">
        <f t="shared" si="11"/>
        <v>0</v>
      </c>
      <c r="L246" s="1119"/>
      <c r="M246" s="1118"/>
      <c r="N246" s="1219"/>
    </row>
    <row r="247" spans="2:14" ht="15" customHeight="1">
      <c r="B247" s="1203" t="s">
        <v>144</v>
      </c>
      <c r="C247" s="1209" t="s">
        <v>160</v>
      </c>
      <c r="D247" s="1204">
        <v>4930</v>
      </c>
      <c r="E247" s="1204">
        <v>0</v>
      </c>
      <c r="F247" s="1206">
        <v>4930</v>
      </c>
      <c r="G247" s="1211">
        <v>4930</v>
      </c>
      <c r="H247" s="1204">
        <v>0</v>
      </c>
      <c r="I247" s="1205">
        <v>4930</v>
      </c>
      <c r="J247" s="1200" t="s">
        <v>2123</v>
      </c>
      <c r="K247" s="1201">
        <f t="shared" si="11"/>
        <v>0</v>
      </c>
      <c r="L247" s="1119"/>
      <c r="M247" s="1118"/>
      <c r="N247" s="1118"/>
    </row>
    <row r="248" spans="2:14" ht="15" customHeight="1">
      <c r="B248" s="1203" t="s">
        <v>125</v>
      </c>
      <c r="C248" s="1195" t="s">
        <v>155</v>
      </c>
      <c r="D248" s="1204">
        <v>597300</v>
      </c>
      <c r="E248" s="1204">
        <v>59730</v>
      </c>
      <c r="F248" s="1206">
        <v>657030</v>
      </c>
      <c r="G248" s="1211"/>
      <c r="H248" s="1204"/>
      <c r="I248" s="1205"/>
      <c r="J248" s="1200"/>
      <c r="K248" s="1201">
        <f t="shared" si="11"/>
        <v>657030</v>
      </c>
      <c r="L248" s="1117"/>
      <c r="M248" s="1118"/>
      <c r="N248" s="1119"/>
    </row>
    <row r="249" spans="2:14" ht="15" customHeight="1">
      <c r="B249" s="1203" t="s">
        <v>125</v>
      </c>
      <c r="C249" s="1195" t="s">
        <v>156</v>
      </c>
      <c r="D249" s="1204">
        <v>24851</v>
      </c>
      <c r="E249" s="1204">
        <v>0</v>
      </c>
      <c r="F249" s="1206">
        <v>24851</v>
      </c>
      <c r="G249" s="1211"/>
      <c r="H249" s="1204"/>
      <c r="I249" s="1205"/>
      <c r="J249" s="1200"/>
      <c r="K249" s="1201">
        <f t="shared" si="11"/>
        <v>24851</v>
      </c>
      <c r="L249" s="1117"/>
      <c r="M249" s="1118"/>
      <c r="N249" s="1119"/>
    </row>
    <row r="250" spans="2:14" ht="15" customHeight="1">
      <c r="B250" s="1194" t="s">
        <v>125</v>
      </c>
      <c r="C250" s="1195" t="s">
        <v>159</v>
      </c>
      <c r="D250" s="1196">
        <v>1236010</v>
      </c>
      <c r="E250" s="1196">
        <v>123601</v>
      </c>
      <c r="F250" s="1197">
        <v>1359611</v>
      </c>
      <c r="G250" s="1198"/>
      <c r="H250" s="1199"/>
      <c r="I250" s="1199"/>
      <c r="J250" s="1200"/>
      <c r="K250" s="1201">
        <f t="shared" si="11"/>
        <v>1359611</v>
      </c>
      <c r="L250" s="1119"/>
      <c r="M250" s="1118"/>
      <c r="N250" s="1118"/>
    </row>
    <row r="251" spans="2:14" ht="15" customHeight="1">
      <c r="B251" s="1215" t="s">
        <v>125</v>
      </c>
      <c r="C251" s="1195" t="s">
        <v>160</v>
      </c>
      <c r="D251" s="1196">
        <v>51425</v>
      </c>
      <c r="E251" s="1196">
        <v>0</v>
      </c>
      <c r="F251" s="1197">
        <v>51425</v>
      </c>
      <c r="G251" s="1213"/>
      <c r="H251" s="1196"/>
      <c r="I251" s="1196"/>
      <c r="J251" s="1200"/>
      <c r="K251" s="1201">
        <f t="shared" si="11"/>
        <v>51425</v>
      </c>
      <c r="L251" s="1119"/>
      <c r="M251" s="1118"/>
      <c r="N251" s="1118"/>
    </row>
    <row r="252" spans="2:14" ht="15" customHeight="1">
      <c r="B252" s="1215" t="s">
        <v>478</v>
      </c>
      <c r="C252" s="1195" t="s">
        <v>157</v>
      </c>
      <c r="D252" s="1196">
        <v>0</v>
      </c>
      <c r="E252" s="1196">
        <v>0</v>
      </c>
      <c r="F252" s="1197">
        <v>0</v>
      </c>
      <c r="G252" s="1213"/>
      <c r="H252" s="1196"/>
      <c r="I252" s="1196"/>
      <c r="J252" s="1200"/>
      <c r="K252" s="1201">
        <f t="shared" si="11"/>
        <v>0</v>
      </c>
      <c r="L252" s="1119"/>
      <c r="M252" s="1118"/>
      <c r="N252" s="1118"/>
    </row>
    <row r="253" spans="2:14" ht="15" customHeight="1">
      <c r="B253" s="1215" t="s">
        <v>479</v>
      </c>
      <c r="C253" s="1195" t="s">
        <v>155</v>
      </c>
      <c r="D253" s="1196">
        <v>28230</v>
      </c>
      <c r="E253" s="1196">
        <v>2823</v>
      </c>
      <c r="F253" s="1197">
        <v>31053</v>
      </c>
      <c r="G253" s="1198">
        <v>28230</v>
      </c>
      <c r="H253" s="1199">
        <v>2823</v>
      </c>
      <c r="I253" s="1199">
        <v>31053</v>
      </c>
      <c r="J253" s="1200" t="s">
        <v>2122</v>
      </c>
      <c r="K253" s="1201">
        <f t="shared" si="11"/>
        <v>0</v>
      </c>
      <c r="L253" s="1119"/>
      <c r="M253" s="1118"/>
      <c r="N253" s="1118"/>
    </row>
    <row r="254" spans="2:14" ht="15" customHeight="1">
      <c r="B254" s="1215" t="s">
        <v>479</v>
      </c>
      <c r="C254" s="1195" t="s">
        <v>156</v>
      </c>
      <c r="D254" s="1196">
        <v>1170</v>
      </c>
      <c r="E254" s="1196">
        <v>0</v>
      </c>
      <c r="F254" s="1197">
        <v>1170</v>
      </c>
      <c r="G254" s="1198">
        <v>1170</v>
      </c>
      <c r="H254" s="1199">
        <v>0</v>
      </c>
      <c r="I254" s="1199">
        <v>1170</v>
      </c>
      <c r="J254" s="1200" t="s">
        <v>2122</v>
      </c>
      <c r="K254" s="1201">
        <f t="shared" si="11"/>
        <v>0</v>
      </c>
      <c r="L254" s="1119"/>
      <c r="M254" s="1118"/>
      <c r="N254" s="1118"/>
    </row>
    <row r="255" spans="2:14" ht="15" customHeight="1">
      <c r="B255" s="1215" t="s">
        <v>147</v>
      </c>
      <c r="C255" s="1195" t="s">
        <v>155</v>
      </c>
      <c r="D255" s="1196">
        <v>44440</v>
      </c>
      <c r="E255" s="1196">
        <v>4444</v>
      </c>
      <c r="F255" s="1197">
        <v>48884</v>
      </c>
      <c r="G255" s="1198">
        <v>44440</v>
      </c>
      <c r="H255" s="1199">
        <v>4444</v>
      </c>
      <c r="I255" s="1199">
        <v>48884</v>
      </c>
      <c r="J255" s="1200" t="s">
        <v>2127</v>
      </c>
      <c r="K255" s="1201">
        <f t="shared" si="11"/>
        <v>0</v>
      </c>
      <c r="L255" s="1119"/>
      <c r="M255" s="1118"/>
      <c r="N255" s="1118"/>
    </row>
    <row r="256" spans="2:14" ht="15" customHeight="1">
      <c r="B256" s="1215" t="s">
        <v>147</v>
      </c>
      <c r="C256" s="1195" t="s">
        <v>156</v>
      </c>
      <c r="D256" s="1196">
        <v>1840</v>
      </c>
      <c r="E256" s="1196">
        <v>0</v>
      </c>
      <c r="F256" s="1197">
        <v>1840</v>
      </c>
      <c r="G256" s="1198">
        <v>1840</v>
      </c>
      <c r="H256" s="1199">
        <v>0</v>
      </c>
      <c r="I256" s="1199">
        <v>1840</v>
      </c>
      <c r="J256" s="1200" t="s">
        <v>2127</v>
      </c>
      <c r="K256" s="1201">
        <f t="shared" si="11"/>
        <v>0</v>
      </c>
      <c r="L256" s="1119"/>
      <c r="M256" s="1118"/>
      <c r="N256" s="1118"/>
    </row>
    <row r="257" spans="2:14" ht="15" customHeight="1">
      <c r="B257" s="1215" t="s">
        <v>147</v>
      </c>
      <c r="C257" s="1195" t="s">
        <v>155</v>
      </c>
      <c r="D257" s="1196">
        <v>54850</v>
      </c>
      <c r="E257" s="1196">
        <v>5485</v>
      </c>
      <c r="F257" s="1197">
        <v>60335</v>
      </c>
      <c r="G257" s="1198">
        <v>54850</v>
      </c>
      <c r="H257" s="1199">
        <v>5485</v>
      </c>
      <c r="I257" s="1199">
        <v>60335</v>
      </c>
      <c r="J257" s="1200" t="s">
        <v>2127</v>
      </c>
      <c r="K257" s="1201">
        <f t="shared" si="11"/>
        <v>0</v>
      </c>
      <c r="L257" s="1119"/>
      <c r="M257" s="1118"/>
      <c r="N257" s="1118"/>
    </row>
    <row r="258" spans="2:14" ht="15" customHeight="1">
      <c r="B258" s="1215" t="s">
        <v>147</v>
      </c>
      <c r="C258" s="1195" t="s">
        <v>156</v>
      </c>
      <c r="D258" s="1196">
        <v>2280</v>
      </c>
      <c r="E258" s="1196">
        <v>0</v>
      </c>
      <c r="F258" s="1197">
        <v>2280</v>
      </c>
      <c r="G258" s="1198">
        <v>2280</v>
      </c>
      <c r="H258" s="1199">
        <v>0</v>
      </c>
      <c r="I258" s="1199">
        <v>2280</v>
      </c>
      <c r="J258" s="1200" t="s">
        <v>2127</v>
      </c>
      <c r="K258" s="1201">
        <f t="shared" si="11"/>
        <v>0</v>
      </c>
      <c r="L258" s="1119"/>
      <c r="M258" s="1118"/>
      <c r="N258" s="1118"/>
    </row>
    <row r="259" spans="2:14" ht="15" customHeight="1">
      <c r="B259" s="1215" t="s">
        <v>147</v>
      </c>
      <c r="C259" s="1195" t="s">
        <v>157</v>
      </c>
      <c r="D259" s="1196">
        <v>0</v>
      </c>
      <c r="E259" s="1196">
        <v>0</v>
      </c>
      <c r="F259" s="1197">
        <v>0</v>
      </c>
      <c r="G259" s="1198">
        <v>0</v>
      </c>
      <c r="H259" s="1199">
        <v>0</v>
      </c>
      <c r="I259" s="1199">
        <v>0</v>
      </c>
      <c r="J259" s="1200" t="s">
        <v>2127</v>
      </c>
      <c r="K259" s="1201">
        <f t="shared" si="11"/>
        <v>0</v>
      </c>
      <c r="L259" s="1119"/>
      <c r="M259" s="1118"/>
      <c r="N259" s="1118"/>
    </row>
    <row r="260" spans="2:14" ht="15" customHeight="1">
      <c r="B260" s="1215" t="s">
        <v>147</v>
      </c>
      <c r="C260" s="1217" t="s">
        <v>155</v>
      </c>
      <c r="D260" s="1196">
        <v>484840</v>
      </c>
      <c r="E260" s="1196">
        <v>48484</v>
      </c>
      <c r="F260" s="1197">
        <v>533324</v>
      </c>
      <c r="G260" s="1198">
        <v>484840</v>
      </c>
      <c r="H260" s="1199">
        <v>48484</v>
      </c>
      <c r="I260" s="1199">
        <v>533324</v>
      </c>
      <c r="J260" s="1200" t="s">
        <v>2127</v>
      </c>
      <c r="K260" s="1201">
        <f t="shared" si="11"/>
        <v>0</v>
      </c>
      <c r="L260" s="1119"/>
      <c r="M260" s="1118"/>
      <c r="N260" s="1118"/>
    </row>
    <row r="261" spans="2:14" ht="15" customHeight="1">
      <c r="B261" s="1203" t="s">
        <v>147</v>
      </c>
      <c r="C261" s="1195" t="s">
        <v>156</v>
      </c>
      <c r="D261" s="1196">
        <v>20170</v>
      </c>
      <c r="E261" s="1196">
        <v>0</v>
      </c>
      <c r="F261" s="1197">
        <v>20170</v>
      </c>
      <c r="G261" s="1220">
        <v>20170</v>
      </c>
      <c r="H261" s="1221">
        <v>0</v>
      </c>
      <c r="I261" s="1199">
        <v>20170</v>
      </c>
      <c r="J261" s="1222" t="s">
        <v>2127</v>
      </c>
      <c r="K261" s="1201">
        <f t="shared" si="11"/>
        <v>0</v>
      </c>
      <c r="L261" s="1123"/>
      <c r="M261" s="1223"/>
      <c r="N261" s="1223"/>
    </row>
    <row r="262" spans="2:14" ht="15" customHeight="1">
      <c r="B262" s="1203" t="s">
        <v>147</v>
      </c>
      <c r="C262" s="1195" t="s">
        <v>157</v>
      </c>
      <c r="D262" s="1196">
        <v>0</v>
      </c>
      <c r="E262" s="1196">
        <v>0</v>
      </c>
      <c r="F262" s="1197">
        <v>0</v>
      </c>
      <c r="G262" s="1220">
        <v>0</v>
      </c>
      <c r="H262" s="1221">
        <v>0</v>
      </c>
      <c r="I262" s="1199">
        <v>0</v>
      </c>
      <c r="J262" s="1222" t="s">
        <v>2127</v>
      </c>
      <c r="K262" s="1201">
        <f t="shared" si="11"/>
        <v>0</v>
      </c>
      <c r="L262" s="1123"/>
      <c r="M262" s="1223"/>
      <c r="N262" s="1223"/>
    </row>
    <row r="263" spans="2:14" ht="15" customHeight="1">
      <c r="B263" s="1215" t="s">
        <v>473</v>
      </c>
      <c r="C263" s="1195" t="s">
        <v>155</v>
      </c>
      <c r="D263" s="1196">
        <v>22990</v>
      </c>
      <c r="E263" s="1204">
        <v>2299</v>
      </c>
      <c r="F263" s="1205">
        <v>25289</v>
      </c>
      <c r="G263" s="1220">
        <v>22990</v>
      </c>
      <c r="H263" s="1221">
        <v>2299</v>
      </c>
      <c r="I263" s="1199">
        <v>25289</v>
      </c>
      <c r="J263" s="1222" t="s">
        <v>2121</v>
      </c>
      <c r="K263" s="1201">
        <f t="shared" si="11"/>
        <v>0</v>
      </c>
      <c r="L263" s="1123"/>
      <c r="M263" s="1223"/>
      <c r="N263" s="1223"/>
    </row>
    <row r="264" spans="2:14" ht="15" customHeight="1">
      <c r="B264" s="1215" t="s">
        <v>473</v>
      </c>
      <c r="C264" s="1195" t="s">
        <v>156</v>
      </c>
      <c r="D264" s="1196">
        <v>950</v>
      </c>
      <c r="E264" s="1196">
        <v>0</v>
      </c>
      <c r="F264" s="1205">
        <v>950</v>
      </c>
      <c r="G264" s="1220">
        <v>950</v>
      </c>
      <c r="H264" s="1221">
        <v>0</v>
      </c>
      <c r="I264" s="1199">
        <v>950</v>
      </c>
      <c r="J264" s="1222" t="s">
        <v>2121</v>
      </c>
      <c r="K264" s="1201">
        <f t="shared" si="11"/>
        <v>0</v>
      </c>
      <c r="L264" s="1123"/>
      <c r="M264" s="1223"/>
      <c r="N264" s="1223"/>
    </row>
    <row r="265" spans="2:14" ht="15" customHeight="1">
      <c r="B265" s="1203" t="s">
        <v>473</v>
      </c>
      <c r="C265" s="1195" t="s">
        <v>157</v>
      </c>
      <c r="D265" s="1204">
        <v>0</v>
      </c>
      <c r="E265" s="1204">
        <v>0</v>
      </c>
      <c r="F265" s="1205">
        <v>0</v>
      </c>
      <c r="G265" s="1220">
        <v>0</v>
      </c>
      <c r="H265" s="1221">
        <v>0</v>
      </c>
      <c r="I265" s="1199">
        <v>0</v>
      </c>
      <c r="J265" s="1222" t="s">
        <v>2121</v>
      </c>
      <c r="K265" s="1201">
        <f t="shared" si="11"/>
        <v>0</v>
      </c>
      <c r="L265" s="1123"/>
      <c r="M265" s="1223"/>
      <c r="N265" s="1223"/>
    </row>
    <row r="266" spans="2:14" ht="15" customHeight="1">
      <c r="B266" s="1203" t="s">
        <v>139</v>
      </c>
      <c r="C266" s="1195" t="s">
        <v>155</v>
      </c>
      <c r="D266" s="1204">
        <v>116980</v>
      </c>
      <c r="E266" s="1204">
        <v>11698</v>
      </c>
      <c r="F266" s="1205">
        <v>128678</v>
      </c>
      <c r="G266" s="1220">
        <v>116980</v>
      </c>
      <c r="H266" s="1221">
        <v>11698</v>
      </c>
      <c r="I266" s="1199">
        <v>128678</v>
      </c>
      <c r="J266" s="1222" t="s">
        <v>2125</v>
      </c>
      <c r="K266" s="1201">
        <f t="shared" si="11"/>
        <v>0</v>
      </c>
      <c r="L266" s="1123"/>
      <c r="M266" s="1223"/>
      <c r="N266" s="1223"/>
    </row>
    <row r="267" spans="2:14" ht="15" customHeight="1">
      <c r="B267" s="1203" t="s">
        <v>139</v>
      </c>
      <c r="C267" s="1195" t="s">
        <v>156</v>
      </c>
      <c r="D267" s="1204">
        <v>4867</v>
      </c>
      <c r="E267" s="1204">
        <v>0</v>
      </c>
      <c r="F267" s="1205">
        <v>4867</v>
      </c>
      <c r="G267" s="1220">
        <v>4867</v>
      </c>
      <c r="H267" s="1221">
        <v>0</v>
      </c>
      <c r="I267" s="1199">
        <v>4867</v>
      </c>
      <c r="J267" s="1222" t="s">
        <v>2125</v>
      </c>
      <c r="K267" s="1201">
        <f t="shared" si="11"/>
        <v>0</v>
      </c>
      <c r="L267" s="1123"/>
      <c r="M267" s="1223"/>
      <c r="N267" s="1223"/>
    </row>
    <row r="268" spans="2:14" ht="15" customHeight="1">
      <c r="B268" s="1203" t="s">
        <v>139</v>
      </c>
      <c r="C268" s="1195" t="s">
        <v>155</v>
      </c>
      <c r="D268" s="1204">
        <v>57530</v>
      </c>
      <c r="E268" s="1204">
        <v>5753</v>
      </c>
      <c r="F268" s="1205">
        <v>63283</v>
      </c>
      <c r="G268" s="1220">
        <v>57530</v>
      </c>
      <c r="H268" s="1221">
        <v>5753</v>
      </c>
      <c r="I268" s="1199">
        <v>63283</v>
      </c>
      <c r="J268" s="1222" t="s">
        <v>2125</v>
      </c>
      <c r="K268" s="1201">
        <f t="shared" si="11"/>
        <v>0</v>
      </c>
      <c r="L268" s="1123"/>
      <c r="M268" s="1223"/>
      <c r="N268" s="1223"/>
    </row>
    <row r="269" spans="2:14" ht="15" customHeight="1">
      <c r="B269" s="1203" t="s">
        <v>139</v>
      </c>
      <c r="C269" s="1195" t="s">
        <v>156</v>
      </c>
      <c r="D269" s="1204">
        <v>2390</v>
      </c>
      <c r="E269" s="1204">
        <v>0</v>
      </c>
      <c r="F269" s="1205">
        <v>2390</v>
      </c>
      <c r="G269" s="1220">
        <v>2390</v>
      </c>
      <c r="H269" s="1221">
        <v>0</v>
      </c>
      <c r="I269" s="1199">
        <v>2390</v>
      </c>
      <c r="J269" s="1222" t="s">
        <v>2125</v>
      </c>
      <c r="K269" s="1201">
        <f t="shared" si="11"/>
        <v>0</v>
      </c>
      <c r="L269" s="1123"/>
      <c r="M269" s="1223"/>
      <c r="N269" s="1223"/>
    </row>
    <row r="270" spans="2:14" ht="15" customHeight="1">
      <c r="B270" s="1194" t="s">
        <v>139</v>
      </c>
      <c r="C270" s="1195" t="s">
        <v>155</v>
      </c>
      <c r="D270" s="1196">
        <v>1365580</v>
      </c>
      <c r="E270" s="1196">
        <v>136558</v>
      </c>
      <c r="F270" s="1197">
        <v>1502138</v>
      </c>
      <c r="G270" s="1220">
        <v>1365580</v>
      </c>
      <c r="H270" s="1221">
        <v>136558</v>
      </c>
      <c r="I270" s="1199">
        <v>1502138</v>
      </c>
      <c r="J270" s="1222" t="s">
        <v>2125</v>
      </c>
      <c r="K270" s="1201">
        <f t="shared" si="11"/>
        <v>0</v>
      </c>
      <c r="L270" s="1123"/>
      <c r="M270" s="1223"/>
      <c r="N270" s="1223"/>
    </row>
    <row r="271" spans="2:14" ht="15" customHeight="1">
      <c r="B271" s="1194" t="s">
        <v>139</v>
      </c>
      <c r="C271" s="1195" t="s">
        <v>156</v>
      </c>
      <c r="D271" s="1196">
        <v>56810</v>
      </c>
      <c r="E271" s="1196">
        <v>0</v>
      </c>
      <c r="F271" s="1197">
        <v>56810</v>
      </c>
      <c r="G271" s="1220">
        <v>56810</v>
      </c>
      <c r="H271" s="1221">
        <v>0</v>
      </c>
      <c r="I271" s="1199">
        <v>56810</v>
      </c>
      <c r="J271" s="1222" t="s">
        <v>2125</v>
      </c>
      <c r="K271" s="1201">
        <f t="shared" si="11"/>
        <v>0</v>
      </c>
      <c r="L271" s="1123"/>
      <c r="M271" s="1223"/>
      <c r="N271" s="1223"/>
    </row>
    <row r="272" spans="2:14" ht="15" customHeight="1">
      <c r="B272" s="1194" t="s">
        <v>139</v>
      </c>
      <c r="C272" s="1195" t="s">
        <v>159</v>
      </c>
      <c r="D272" s="1196">
        <v>3219390</v>
      </c>
      <c r="E272" s="1196">
        <v>321939</v>
      </c>
      <c r="F272" s="1197">
        <v>3541329</v>
      </c>
      <c r="G272" s="1220">
        <v>3219390</v>
      </c>
      <c r="H272" s="1221">
        <v>321939</v>
      </c>
      <c r="I272" s="1199">
        <v>3541329</v>
      </c>
      <c r="J272" s="1222" t="s">
        <v>2125</v>
      </c>
      <c r="K272" s="1201">
        <f t="shared" si="11"/>
        <v>0</v>
      </c>
      <c r="L272" s="1123"/>
      <c r="M272" s="1223"/>
      <c r="N272" s="1223"/>
    </row>
    <row r="273" spans="2:14" ht="15" customHeight="1">
      <c r="B273" s="1194" t="s">
        <v>139</v>
      </c>
      <c r="C273" s="1195" t="s">
        <v>160</v>
      </c>
      <c r="D273" s="1196">
        <v>133930</v>
      </c>
      <c r="E273" s="1196">
        <v>0</v>
      </c>
      <c r="F273" s="1197">
        <v>133930</v>
      </c>
      <c r="G273" s="1220">
        <v>133930</v>
      </c>
      <c r="H273" s="1221">
        <v>0</v>
      </c>
      <c r="I273" s="1199">
        <v>133930</v>
      </c>
      <c r="J273" s="1222" t="s">
        <v>2125</v>
      </c>
      <c r="K273" s="1201">
        <f t="shared" si="11"/>
        <v>0</v>
      </c>
      <c r="L273" s="1123"/>
      <c r="M273" s="1223"/>
      <c r="N273" s="1223"/>
    </row>
    <row r="274" spans="2:14" ht="15" customHeight="1">
      <c r="B274" s="1194" t="s">
        <v>139</v>
      </c>
      <c r="C274" s="1195" t="s">
        <v>157</v>
      </c>
      <c r="D274" s="1196">
        <v>0</v>
      </c>
      <c r="E274" s="1196">
        <v>0</v>
      </c>
      <c r="F274" s="1197">
        <v>0</v>
      </c>
      <c r="G274" s="1220">
        <v>0</v>
      </c>
      <c r="H274" s="1221">
        <v>0</v>
      </c>
      <c r="I274" s="1199">
        <v>0</v>
      </c>
      <c r="J274" s="1222" t="s">
        <v>2125</v>
      </c>
      <c r="K274" s="1201">
        <f t="shared" ref="K274:K295" si="12">+F274-I274</f>
        <v>0</v>
      </c>
      <c r="L274" s="1123"/>
      <c r="M274" s="1223"/>
      <c r="N274" s="1223"/>
    </row>
    <row r="275" spans="2:14" ht="15" customHeight="1">
      <c r="B275" s="1194" t="s">
        <v>148</v>
      </c>
      <c r="C275" s="1195" t="s">
        <v>155</v>
      </c>
      <c r="D275" s="1196">
        <v>31140</v>
      </c>
      <c r="E275" s="1196">
        <v>3114</v>
      </c>
      <c r="F275" s="1197">
        <v>34254</v>
      </c>
      <c r="G275" s="1220">
        <v>31140</v>
      </c>
      <c r="H275" s="1221">
        <v>3114</v>
      </c>
      <c r="I275" s="1199">
        <v>34254</v>
      </c>
      <c r="J275" s="1222" t="s">
        <v>2125</v>
      </c>
      <c r="K275" s="1201">
        <f t="shared" si="12"/>
        <v>0</v>
      </c>
      <c r="L275" s="1123"/>
      <c r="M275" s="1223"/>
      <c r="N275" s="1223"/>
    </row>
    <row r="276" spans="2:14" ht="15" customHeight="1">
      <c r="B276" s="1194" t="s">
        <v>148</v>
      </c>
      <c r="C276" s="1195" t="s">
        <v>156</v>
      </c>
      <c r="D276" s="1196">
        <v>1290</v>
      </c>
      <c r="E276" s="1196">
        <v>0</v>
      </c>
      <c r="F276" s="1197">
        <v>1290</v>
      </c>
      <c r="G276" s="1220">
        <v>1290</v>
      </c>
      <c r="H276" s="1221">
        <v>0</v>
      </c>
      <c r="I276" s="1199">
        <v>1290</v>
      </c>
      <c r="J276" s="1222" t="s">
        <v>2125</v>
      </c>
      <c r="K276" s="1201">
        <f t="shared" si="12"/>
        <v>0</v>
      </c>
      <c r="L276" s="1123"/>
      <c r="M276" s="1223"/>
      <c r="N276" s="1223"/>
    </row>
    <row r="277" spans="2:14" ht="15" customHeight="1">
      <c r="B277" s="1194" t="s">
        <v>143</v>
      </c>
      <c r="C277" s="1195" t="s">
        <v>155</v>
      </c>
      <c r="D277" s="1196">
        <v>90770</v>
      </c>
      <c r="E277" s="1196">
        <v>9077</v>
      </c>
      <c r="F277" s="1197">
        <v>99847</v>
      </c>
      <c r="G277" s="1220">
        <v>90770</v>
      </c>
      <c r="H277" s="1221">
        <v>9077</v>
      </c>
      <c r="I277" s="1199">
        <v>99847</v>
      </c>
      <c r="J277" s="1222" t="s">
        <v>2120</v>
      </c>
      <c r="K277" s="1201">
        <f t="shared" si="12"/>
        <v>0</v>
      </c>
      <c r="L277" s="1123"/>
      <c r="M277" s="1223"/>
      <c r="N277" s="1223"/>
    </row>
    <row r="278" spans="2:14" ht="15" customHeight="1">
      <c r="B278" s="1194" t="s">
        <v>143</v>
      </c>
      <c r="C278" s="1195" t="s">
        <v>156</v>
      </c>
      <c r="D278" s="1196">
        <v>3770</v>
      </c>
      <c r="E278" s="1196">
        <v>0</v>
      </c>
      <c r="F278" s="1197">
        <v>3770</v>
      </c>
      <c r="G278" s="1220">
        <v>3770</v>
      </c>
      <c r="H278" s="1221">
        <v>0</v>
      </c>
      <c r="I278" s="1199">
        <v>3770</v>
      </c>
      <c r="J278" s="1222" t="s">
        <v>2120</v>
      </c>
      <c r="K278" s="1201">
        <f t="shared" si="12"/>
        <v>0</v>
      </c>
      <c r="L278" s="1123"/>
      <c r="M278" s="1223"/>
      <c r="N278" s="1223"/>
    </row>
    <row r="279" spans="2:14" ht="15" customHeight="1">
      <c r="B279" s="1194" t="s">
        <v>143</v>
      </c>
      <c r="C279" s="1217" t="s">
        <v>157</v>
      </c>
      <c r="D279" s="1196">
        <v>0</v>
      </c>
      <c r="E279" s="1196">
        <v>0</v>
      </c>
      <c r="F279" s="1197">
        <v>0</v>
      </c>
      <c r="G279" s="1220">
        <v>0</v>
      </c>
      <c r="H279" s="1221">
        <v>0</v>
      </c>
      <c r="I279" s="1199">
        <v>0</v>
      </c>
      <c r="J279" s="1222" t="s">
        <v>2120</v>
      </c>
      <c r="K279" s="1201">
        <f t="shared" si="12"/>
        <v>0</v>
      </c>
      <c r="L279" s="1123"/>
      <c r="M279" s="1223"/>
      <c r="N279" s="1223"/>
    </row>
    <row r="280" spans="2:14" ht="15" customHeight="1">
      <c r="B280" s="1194" t="s">
        <v>126</v>
      </c>
      <c r="C280" s="1217" t="s">
        <v>155</v>
      </c>
      <c r="D280" s="1196">
        <v>21100</v>
      </c>
      <c r="E280" s="1196">
        <v>2110</v>
      </c>
      <c r="F280" s="1197">
        <v>23210</v>
      </c>
      <c r="G280" s="1220">
        <v>21100</v>
      </c>
      <c r="H280" s="1221">
        <v>2110</v>
      </c>
      <c r="I280" s="1199">
        <v>23210</v>
      </c>
      <c r="J280" s="1222" t="s">
        <v>2124</v>
      </c>
      <c r="K280" s="1201">
        <f t="shared" si="12"/>
        <v>0</v>
      </c>
      <c r="L280" s="1123"/>
      <c r="M280" s="1223"/>
      <c r="N280" s="1223"/>
    </row>
    <row r="281" spans="2:14" ht="15" customHeight="1">
      <c r="B281" s="1194" t="s">
        <v>126</v>
      </c>
      <c r="C281" s="1195" t="s">
        <v>156</v>
      </c>
      <c r="D281" s="1196">
        <v>870</v>
      </c>
      <c r="E281" s="1196">
        <v>0</v>
      </c>
      <c r="F281" s="1197">
        <v>870</v>
      </c>
      <c r="G281" s="1220">
        <v>870</v>
      </c>
      <c r="H281" s="1221">
        <v>0</v>
      </c>
      <c r="I281" s="1199">
        <v>870</v>
      </c>
      <c r="J281" s="1222" t="s">
        <v>2124</v>
      </c>
      <c r="K281" s="1201">
        <f t="shared" si="12"/>
        <v>0</v>
      </c>
      <c r="L281" s="1123"/>
      <c r="M281" s="1223"/>
      <c r="N281" s="1223"/>
    </row>
    <row r="282" spans="2:14" ht="15" customHeight="1">
      <c r="B282" s="1194" t="s">
        <v>1997</v>
      </c>
      <c r="C282" s="1195" t="s">
        <v>155</v>
      </c>
      <c r="D282" s="1196">
        <v>50540</v>
      </c>
      <c r="E282" s="1196">
        <v>5054</v>
      </c>
      <c r="F282" s="1197">
        <v>55594</v>
      </c>
      <c r="G282" s="1220">
        <v>50540</v>
      </c>
      <c r="H282" s="1221">
        <v>5054</v>
      </c>
      <c r="I282" s="1199">
        <v>55594</v>
      </c>
      <c r="J282" s="1222" t="s">
        <v>2127</v>
      </c>
      <c r="K282" s="1201">
        <f t="shared" si="12"/>
        <v>0</v>
      </c>
      <c r="L282" s="1123"/>
      <c r="M282" s="1223"/>
      <c r="N282" s="1223"/>
    </row>
    <row r="283" spans="2:14" ht="15" customHeight="1">
      <c r="B283" s="1194" t="s">
        <v>1997</v>
      </c>
      <c r="C283" s="1195" t="s">
        <v>156</v>
      </c>
      <c r="D283" s="1196">
        <v>2100</v>
      </c>
      <c r="E283" s="1196">
        <v>0</v>
      </c>
      <c r="F283" s="1197">
        <v>2100</v>
      </c>
      <c r="G283" s="1220">
        <v>2100</v>
      </c>
      <c r="H283" s="1221">
        <v>0</v>
      </c>
      <c r="I283" s="1199">
        <v>2100</v>
      </c>
      <c r="J283" s="1222" t="s">
        <v>2127</v>
      </c>
      <c r="K283" s="1201">
        <f t="shared" si="12"/>
        <v>0</v>
      </c>
      <c r="L283" s="1123"/>
      <c r="M283" s="1223"/>
      <c r="N283" s="1223"/>
    </row>
    <row r="284" spans="2:14" ht="15" customHeight="1">
      <c r="B284" s="1194" t="s">
        <v>1997</v>
      </c>
      <c r="C284" s="1195" t="s">
        <v>159</v>
      </c>
      <c r="D284" s="1196">
        <v>165050</v>
      </c>
      <c r="E284" s="1196">
        <v>16505</v>
      </c>
      <c r="F284" s="1197">
        <v>181555</v>
      </c>
      <c r="G284" s="1213">
        <v>165050</v>
      </c>
      <c r="H284" s="1196">
        <v>16505</v>
      </c>
      <c r="I284" s="1196">
        <v>181555</v>
      </c>
      <c r="J284" s="1200" t="s">
        <v>2127</v>
      </c>
      <c r="K284" s="1201">
        <f t="shared" si="12"/>
        <v>0</v>
      </c>
      <c r="L284" s="1123"/>
      <c r="M284" s="1223"/>
      <c r="N284" s="1223"/>
    </row>
    <row r="285" spans="2:14" ht="15" customHeight="1">
      <c r="B285" s="1194" t="s">
        <v>1997</v>
      </c>
      <c r="C285" s="1195" t="s">
        <v>160</v>
      </c>
      <c r="D285" s="1196">
        <v>6860</v>
      </c>
      <c r="E285" s="1196">
        <v>0</v>
      </c>
      <c r="F285" s="1197">
        <v>6860</v>
      </c>
      <c r="G285" s="1213">
        <v>6860</v>
      </c>
      <c r="H285" s="1196">
        <v>0</v>
      </c>
      <c r="I285" s="1196">
        <v>6860</v>
      </c>
      <c r="J285" s="1200" t="s">
        <v>2127</v>
      </c>
      <c r="K285" s="1201">
        <f t="shared" si="12"/>
        <v>0</v>
      </c>
      <c r="L285" s="1123"/>
      <c r="M285" s="1223"/>
      <c r="N285" s="1223"/>
    </row>
    <row r="286" spans="2:14" ht="15" customHeight="1">
      <c r="B286" s="1194" t="s">
        <v>138</v>
      </c>
      <c r="C286" s="1195" t="s">
        <v>155</v>
      </c>
      <c r="D286" s="1196">
        <v>29440</v>
      </c>
      <c r="E286" s="1196">
        <v>2944</v>
      </c>
      <c r="F286" s="1197">
        <v>32384</v>
      </c>
      <c r="G286" s="1220">
        <v>29440</v>
      </c>
      <c r="H286" s="1221">
        <v>2944</v>
      </c>
      <c r="I286" s="1199">
        <v>32384</v>
      </c>
      <c r="J286" s="1222" t="s">
        <v>2125</v>
      </c>
      <c r="K286" s="1201">
        <f t="shared" si="12"/>
        <v>0</v>
      </c>
      <c r="L286" s="1123"/>
      <c r="M286" s="1223"/>
      <c r="N286" s="1223"/>
    </row>
    <row r="287" spans="2:14" ht="15" customHeight="1">
      <c r="B287" s="1194" t="s">
        <v>138</v>
      </c>
      <c r="C287" s="1195" t="s">
        <v>156</v>
      </c>
      <c r="D287" s="1196">
        <v>1220</v>
      </c>
      <c r="E287" s="1196">
        <v>0</v>
      </c>
      <c r="F287" s="1197">
        <v>1220</v>
      </c>
      <c r="G287" s="1220">
        <v>1220</v>
      </c>
      <c r="H287" s="1221">
        <v>0</v>
      </c>
      <c r="I287" s="1199">
        <v>1220</v>
      </c>
      <c r="J287" s="1222" t="s">
        <v>2125</v>
      </c>
      <c r="K287" s="1201">
        <f t="shared" si="12"/>
        <v>0</v>
      </c>
      <c r="L287" s="1123"/>
      <c r="M287" s="1223"/>
      <c r="N287" s="1223"/>
    </row>
    <row r="288" spans="2:14" ht="15" customHeight="1">
      <c r="B288" s="1194" t="s">
        <v>138</v>
      </c>
      <c r="C288" s="1195" t="s">
        <v>157</v>
      </c>
      <c r="D288" s="1196">
        <v>350000</v>
      </c>
      <c r="E288" s="1196">
        <v>35000</v>
      </c>
      <c r="F288" s="1197">
        <v>385000</v>
      </c>
      <c r="G288" s="1220">
        <v>350000</v>
      </c>
      <c r="H288" s="1221">
        <v>35000</v>
      </c>
      <c r="I288" s="1199">
        <v>385000</v>
      </c>
      <c r="J288" s="1222" t="s">
        <v>2125</v>
      </c>
      <c r="K288" s="1201">
        <f t="shared" si="12"/>
        <v>0</v>
      </c>
      <c r="L288" s="1123"/>
      <c r="M288" s="1223"/>
      <c r="N288" s="1223"/>
    </row>
    <row r="289" spans="2:17" ht="15" customHeight="1">
      <c r="B289" s="1194" t="s">
        <v>138</v>
      </c>
      <c r="C289" s="1195" t="s">
        <v>155</v>
      </c>
      <c r="D289" s="1196">
        <v>441890</v>
      </c>
      <c r="E289" s="1196">
        <v>44189</v>
      </c>
      <c r="F289" s="1197">
        <v>486079</v>
      </c>
      <c r="G289" s="1220">
        <v>441890</v>
      </c>
      <c r="H289" s="1221">
        <v>44189</v>
      </c>
      <c r="I289" s="1199">
        <v>486079</v>
      </c>
      <c r="J289" s="1222" t="s">
        <v>2125</v>
      </c>
      <c r="K289" s="1201">
        <f t="shared" si="12"/>
        <v>0</v>
      </c>
      <c r="L289" s="1123"/>
      <c r="M289" s="1223"/>
      <c r="N289" s="1223"/>
    </row>
    <row r="290" spans="2:17" ht="15" customHeight="1">
      <c r="B290" s="1194" t="s">
        <v>138</v>
      </c>
      <c r="C290" s="1195" t="s">
        <v>156</v>
      </c>
      <c r="D290" s="1196">
        <v>18370</v>
      </c>
      <c r="E290" s="1196">
        <v>0</v>
      </c>
      <c r="F290" s="1197">
        <v>18370</v>
      </c>
      <c r="G290" s="1220">
        <v>18370</v>
      </c>
      <c r="H290" s="1221">
        <v>0</v>
      </c>
      <c r="I290" s="1199">
        <v>18370</v>
      </c>
      <c r="J290" s="1222" t="s">
        <v>2125</v>
      </c>
      <c r="K290" s="1201">
        <f t="shared" si="12"/>
        <v>0</v>
      </c>
      <c r="L290" s="1123"/>
      <c r="M290" s="1223"/>
      <c r="N290" s="1223"/>
    </row>
    <row r="291" spans="2:17" ht="15" customHeight="1">
      <c r="B291" s="1194" t="s">
        <v>138</v>
      </c>
      <c r="C291" s="1195" t="s">
        <v>159</v>
      </c>
      <c r="D291" s="1196">
        <v>6090510</v>
      </c>
      <c r="E291" s="1196">
        <v>609051</v>
      </c>
      <c r="F291" s="1197">
        <v>6699561</v>
      </c>
      <c r="G291" s="1220">
        <v>6090510</v>
      </c>
      <c r="H291" s="1221">
        <v>609051</v>
      </c>
      <c r="I291" s="1199">
        <v>6699561</v>
      </c>
      <c r="J291" s="1222" t="s">
        <v>2125</v>
      </c>
      <c r="K291" s="1201">
        <f t="shared" si="12"/>
        <v>0</v>
      </c>
      <c r="L291" s="1123"/>
      <c r="M291" s="1223"/>
      <c r="N291" s="1223"/>
    </row>
    <row r="292" spans="2:17" ht="15" customHeight="1">
      <c r="B292" s="1194" t="s">
        <v>138</v>
      </c>
      <c r="C292" s="1195" t="s">
        <v>160</v>
      </c>
      <c r="D292" s="1196">
        <v>253400</v>
      </c>
      <c r="E292" s="1196">
        <v>0</v>
      </c>
      <c r="F292" s="1224">
        <v>253400</v>
      </c>
      <c r="G292" s="1220">
        <v>253400</v>
      </c>
      <c r="H292" s="1221">
        <v>0</v>
      </c>
      <c r="I292" s="1199">
        <v>253400</v>
      </c>
      <c r="J292" s="1222" t="s">
        <v>2125</v>
      </c>
      <c r="K292" s="1201">
        <f t="shared" si="12"/>
        <v>0</v>
      </c>
      <c r="L292" s="1123"/>
      <c r="M292" s="1223"/>
      <c r="N292" s="1223"/>
    </row>
    <row r="293" spans="2:17" ht="15" customHeight="1">
      <c r="B293" s="1194" t="s">
        <v>138</v>
      </c>
      <c r="C293" s="1195" t="s">
        <v>157</v>
      </c>
      <c r="D293" s="1196">
        <v>0</v>
      </c>
      <c r="E293" s="1196">
        <v>0</v>
      </c>
      <c r="F293" s="1224">
        <v>0</v>
      </c>
      <c r="G293" s="1220">
        <v>0</v>
      </c>
      <c r="H293" s="1221">
        <v>0</v>
      </c>
      <c r="I293" s="1199">
        <v>0</v>
      </c>
      <c r="J293" s="1222" t="s">
        <v>2125</v>
      </c>
      <c r="K293" s="1201">
        <f t="shared" si="12"/>
        <v>0</v>
      </c>
      <c r="L293" s="1123"/>
      <c r="M293" s="1223"/>
      <c r="N293" s="1223"/>
    </row>
    <row r="294" spans="2:17" ht="15" customHeight="1">
      <c r="B294" s="1194" t="s">
        <v>162</v>
      </c>
      <c r="C294" s="1195" t="s">
        <v>155</v>
      </c>
      <c r="D294" s="1196">
        <v>53290</v>
      </c>
      <c r="E294" s="1196">
        <v>5329</v>
      </c>
      <c r="F294" s="1224">
        <v>58619</v>
      </c>
      <c r="G294" s="1220">
        <v>53290</v>
      </c>
      <c r="H294" s="1221">
        <v>5329</v>
      </c>
      <c r="I294" s="1199">
        <v>58619</v>
      </c>
      <c r="J294" s="1222" t="s">
        <v>2125</v>
      </c>
      <c r="K294" s="1201">
        <f t="shared" si="12"/>
        <v>0</v>
      </c>
      <c r="L294" s="1123"/>
      <c r="M294" s="1223"/>
      <c r="N294" s="1223"/>
    </row>
    <row r="295" spans="2:17" ht="15" customHeight="1">
      <c r="B295" s="1194" t="s">
        <v>162</v>
      </c>
      <c r="C295" s="1195" t="s">
        <v>156</v>
      </c>
      <c r="D295" s="1196">
        <v>2210</v>
      </c>
      <c r="E295" s="1196">
        <v>0</v>
      </c>
      <c r="F295" s="1224">
        <v>2210</v>
      </c>
      <c r="G295" s="1220">
        <v>2210</v>
      </c>
      <c r="H295" s="1221">
        <v>0</v>
      </c>
      <c r="I295" s="1199">
        <v>2210</v>
      </c>
      <c r="J295" s="1222" t="s">
        <v>2125</v>
      </c>
      <c r="K295" s="1201">
        <f t="shared" si="12"/>
        <v>0</v>
      </c>
      <c r="L295" s="1123"/>
      <c r="M295" s="1223"/>
      <c r="N295" s="1223"/>
    </row>
    <row r="296" spans="2:17" ht="15" customHeight="1">
      <c r="B296" s="1194" t="s">
        <v>162</v>
      </c>
      <c r="C296" s="1195" t="s">
        <v>157</v>
      </c>
      <c r="D296" s="1196">
        <v>0</v>
      </c>
      <c r="E296" s="1196">
        <v>0</v>
      </c>
      <c r="F296" s="1224">
        <v>0</v>
      </c>
      <c r="G296" s="1220">
        <v>0</v>
      </c>
      <c r="H296" s="1221">
        <v>0</v>
      </c>
      <c r="I296" s="1199">
        <v>0</v>
      </c>
      <c r="J296" s="1222" t="s">
        <v>2125</v>
      </c>
      <c r="K296" s="1201">
        <v>0</v>
      </c>
      <c r="L296" s="1123"/>
      <c r="M296" s="1223"/>
      <c r="N296" s="1223"/>
    </row>
    <row r="297" spans="2:17" ht="15" customHeight="1">
      <c r="B297" s="1194" t="s">
        <v>162</v>
      </c>
      <c r="C297" s="1195" t="s">
        <v>155</v>
      </c>
      <c r="D297" s="1196">
        <v>1125900</v>
      </c>
      <c r="E297" s="1196">
        <v>112590</v>
      </c>
      <c r="F297" s="1224">
        <v>1238490</v>
      </c>
      <c r="G297" s="1220">
        <v>1125900</v>
      </c>
      <c r="H297" s="1221">
        <v>112590</v>
      </c>
      <c r="I297" s="1199">
        <v>1238490</v>
      </c>
      <c r="J297" s="1222" t="s">
        <v>2125</v>
      </c>
      <c r="K297" s="1201">
        <v>0</v>
      </c>
      <c r="L297" s="1123"/>
      <c r="M297" s="1223"/>
      <c r="N297" s="1223"/>
    </row>
    <row r="298" spans="2:17" ht="15" customHeight="1">
      <c r="B298" s="1194" t="s">
        <v>162</v>
      </c>
      <c r="C298" s="1195" t="s">
        <v>156</v>
      </c>
      <c r="D298" s="1196">
        <v>46810</v>
      </c>
      <c r="E298" s="1196">
        <v>0</v>
      </c>
      <c r="F298" s="1224">
        <v>46810</v>
      </c>
      <c r="G298" s="1220">
        <v>46810</v>
      </c>
      <c r="H298" s="1221">
        <v>0</v>
      </c>
      <c r="I298" s="1199">
        <v>46810</v>
      </c>
      <c r="J298" s="1222" t="s">
        <v>2125</v>
      </c>
      <c r="K298" s="1201"/>
      <c r="L298" s="1123"/>
      <c r="M298" s="1223"/>
      <c r="N298" s="1223"/>
    </row>
    <row r="299" spans="2:17" ht="15" customHeight="1">
      <c r="B299" s="1194" t="s">
        <v>162</v>
      </c>
      <c r="C299" s="1195" t="s">
        <v>159</v>
      </c>
      <c r="D299" s="1196">
        <v>11944770</v>
      </c>
      <c r="E299" s="1196">
        <v>1194477</v>
      </c>
      <c r="F299" s="1224">
        <v>13139247</v>
      </c>
      <c r="G299" s="1220">
        <v>11944770</v>
      </c>
      <c r="H299" s="1221">
        <v>1194477</v>
      </c>
      <c r="I299" s="1199">
        <v>13139247</v>
      </c>
      <c r="J299" s="1222" t="s">
        <v>2125</v>
      </c>
      <c r="K299" s="1201"/>
      <c r="L299" s="1123"/>
      <c r="M299" s="1223"/>
      <c r="N299" s="1223"/>
    </row>
    <row r="300" spans="2:17" ht="15" customHeight="1">
      <c r="B300" s="1194" t="s">
        <v>162</v>
      </c>
      <c r="C300" s="1195" t="s">
        <v>160</v>
      </c>
      <c r="D300" s="1196">
        <v>496970</v>
      </c>
      <c r="E300" s="1196">
        <v>0</v>
      </c>
      <c r="F300" s="1224">
        <v>496970</v>
      </c>
      <c r="G300" s="1220">
        <v>496970</v>
      </c>
      <c r="H300" s="1221">
        <v>0</v>
      </c>
      <c r="I300" s="1199">
        <v>496970</v>
      </c>
      <c r="J300" s="1222" t="s">
        <v>2125</v>
      </c>
      <c r="K300" s="1201">
        <v>0</v>
      </c>
      <c r="L300" s="1123"/>
      <c r="M300" s="1223"/>
      <c r="N300" s="1223"/>
    </row>
    <row r="301" spans="2:17" ht="15" customHeight="1" thickBot="1">
      <c r="B301" s="1225" t="s">
        <v>162</v>
      </c>
      <c r="C301" s="1226" t="s">
        <v>157</v>
      </c>
      <c r="D301" s="1227">
        <v>0</v>
      </c>
      <c r="E301" s="1227">
        <v>0</v>
      </c>
      <c r="F301" s="1228">
        <v>0</v>
      </c>
      <c r="G301" s="1229">
        <v>0</v>
      </c>
      <c r="H301" s="1230">
        <v>0</v>
      </c>
      <c r="I301" s="1231">
        <v>0</v>
      </c>
      <c r="J301" s="1232" t="s">
        <v>2125</v>
      </c>
      <c r="K301" s="1233">
        <f t="shared" ref="K301:K306" si="13">F301-I301</f>
        <v>0</v>
      </c>
      <c r="L301" s="1232"/>
      <c r="M301" s="1234"/>
      <c r="N301" s="1234"/>
    </row>
    <row r="302" spans="2:17" ht="15" customHeight="1">
      <c r="B302" s="2665" t="s">
        <v>657</v>
      </c>
      <c r="C302" s="1144" t="s">
        <v>662</v>
      </c>
      <c r="D302" s="1235">
        <f>SUMIF($C$142:$C$301,C302,$D$142:$D$301)</f>
        <v>9355600</v>
      </c>
      <c r="E302" s="1235">
        <f t="shared" ref="E302:I306" si="14">SUMIF($C$142:$C$301,$C302,E$142:E$301)</f>
        <v>935560</v>
      </c>
      <c r="F302" s="1236">
        <f t="shared" si="14"/>
        <v>10291160</v>
      </c>
      <c r="G302" s="1237">
        <f t="shared" si="14"/>
        <v>8667220</v>
      </c>
      <c r="H302" s="1235">
        <f t="shared" si="14"/>
        <v>866722</v>
      </c>
      <c r="I302" s="1235">
        <f t="shared" si="14"/>
        <v>9533942</v>
      </c>
      <c r="J302" s="1235"/>
      <c r="K302" s="1238">
        <f>F302-I302</f>
        <v>757218</v>
      </c>
      <c r="L302" s="1239"/>
      <c r="M302" s="1239">
        <f>SUM(M142:M301)</f>
        <v>0</v>
      </c>
      <c r="N302" s="1240"/>
    </row>
    <row r="303" spans="2:17" ht="13.15" customHeight="1">
      <c r="B303" s="2666"/>
      <c r="C303" s="1152" t="s">
        <v>663</v>
      </c>
      <c r="D303" s="1161">
        <f>SUMIF($C$142:$C$301,C303,$D$142:$D$301)</f>
        <v>31077850</v>
      </c>
      <c r="E303" s="1161">
        <f t="shared" si="14"/>
        <v>3107785</v>
      </c>
      <c r="F303" s="1162">
        <f t="shared" si="14"/>
        <v>34185635</v>
      </c>
      <c r="G303" s="1241">
        <f t="shared" si="14"/>
        <v>28268350</v>
      </c>
      <c r="H303" s="1161">
        <f t="shared" si="14"/>
        <v>2826835</v>
      </c>
      <c r="I303" s="1161">
        <f t="shared" si="14"/>
        <v>31095185</v>
      </c>
      <c r="J303" s="1161"/>
      <c r="K303" s="1242">
        <f>F303-I303</f>
        <v>3090450</v>
      </c>
      <c r="L303" s="1163"/>
      <c r="M303" s="1163"/>
      <c r="N303" s="1243"/>
      <c r="Q303" s="1078" t="b">
        <f>P303=B303</f>
        <v>1</v>
      </c>
    </row>
    <row r="304" spans="2:17" ht="15.75" customHeight="1">
      <c r="B304" s="2666"/>
      <c r="C304" s="1152" t="s">
        <v>664</v>
      </c>
      <c r="D304" s="1161">
        <f>SUMIF($C$142:$C$301,C304,$D$142:$D$301)</f>
        <v>5512500</v>
      </c>
      <c r="E304" s="1161">
        <f t="shared" si="14"/>
        <v>551250</v>
      </c>
      <c r="F304" s="1162">
        <f t="shared" si="14"/>
        <v>6063750</v>
      </c>
      <c r="G304" s="1241">
        <f t="shared" si="14"/>
        <v>5512500</v>
      </c>
      <c r="H304" s="1161">
        <f t="shared" si="14"/>
        <v>551250</v>
      </c>
      <c r="I304" s="1161">
        <f t="shared" si="14"/>
        <v>6063750</v>
      </c>
      <c r="J304" s="1161"/>
      <c r="K304" s="1242">
        <f t="shared" si="13"/>
        <v>0</v>
      </c>
      <c r="L304" s="1244"/>
      <c r="M304" s="1244"/>
      <c r="N304" s="1245"/>
      <c r="Q304" s="1216"/>
    </row>
    <row r="305" spans="1:21" ht="15.75" customHeight="1">
      <c r="B305" s="2666"/>
      <c r="C305" s="1152" t="s">
        <v>665</v>
      </c>
      <c r="D305" s="1161">
        <f>SUMIF($C$142:$C$301,C305,$D$142:$D$301)</f>
        <v>1292965</v>
      </c>
      <c r="E305" s="1161">
        <f t="shared" si="14"/>
        <v>0</v>
      </c>
      <c r="F305" s="1162">
        <f t="shared" si="14"/>
        <v>1292965</v>
      </c>
      <c r="G305" s="1241">
        <f t="shared" si="14"/>
        <v>1176080</v>
      </c>
      <c r="H305" s="1161">
        <f t="shared" si="14"/>
        <v>0</v>
      </c>
      <c r="I305" s="1161">
        <f t="shared" si="14"/>
        <v>1176080</v>
      </c>
      <c r="J305" s="1161"/>
      <c r="K305" s="1242">
        <f t="shared" si="13"/>
        <v>116885</v>
      </c>
      <c r="L305" s="1163"/>
      <c r="M305" s="1163"/>
      <c r="N305" s="1243"/>
      <c r="Q305" s="1216"/>
    </row>
    <row r="306" spans="1:21" ht="15.75" customHeight="1">
      <c r="B306" s="2666"/>
      <c r="C306" s="1152" t="s">
        <v>666</v>
      </c>
      <c r="D306" s="1161">
        <f>SUMIF($C$142:$C$301,C306,$D$142:$D$301)</f>
        <v>388968</v>
      </c>
      <c r="E306" s="1161">
        <f t="shared" si="14"/>
        <v>0</v>
      </c>
      <c r="F306" s="1162">
        <f t="shared" si="14"/>
        <v>388968</v>
      </c>
      <c r="G306" s="1241">
        <f t="shared" si="14"/>
        <v>360337</v>
      </c>
      <c r="H306" s="1161">
        <f t="shared" si="14"/>
        <v>0</v>
      </c>
      <c r="I306" s="1161">
        <f t="shared" si="14"/>
        <v>360337</v>
      </c>
      <c r="J306" s="1161"/>
      <c r="K306" s="1242">
        <f t="shared" si="13"/>
        <v>28631</v>
      </c>
      <c r="L306" s="1163"/>
      <c r="M306" s="1163"/>
      <c r="N306" s="1243"/>
      <c r="Q306" s="1216"/>
    </row>
    <row r="307" spans="1:21" ht="15.75" customHeight="1" thickBot="1">
      <c r="B307" s="2667"/>
      <c r="C307" s="1246" t="s">
        <v>163</v>
      </c>
      <c r="D307" s="1247">
        <f t="shared" ref="D307:I307" si="15">SUM(D302:D306)</f>
        <v>47627883</v>
      </c>
      <c r="E307" s="1247">
        <f t="shared" si="15"/>
        <v>4594595</v>
      </c>
      <c r="F307" s="1248">
        <f t="shared" si="15"/>
        <v>52222478</v>
      </c>
      <c r="G307" s="1249">
        <f t="shared" si="15"/>
        <v>43984487</v>
      </c>
      <c r="H307" s="1247">
        <f t="shared" si="15"/>
        <v>4244807</v>
      </c>
      <c r="I307" s="1247">
        <f t="shared" si="15"/>
        <v>48229294</v>
      </c>
      <c r="J307" s="1247"/>
      <c r="K307" s="1250">
        <f>F307-I307</f>
        <v>3993184</v>
      </c>
      <c r="L307" s="1251"/>
      <c r="M307" s="1251"/>
      <c r="N307" s="1252"/>
    </row>
    <row r="308" spans="1:21" ht="15.75" customHeight="1">
      <c r="B308" s="1253" t="s">
        <v>667</v>
      </c>
      <c r="K308" s="1254"/>
    </row>
    <row r="309" spans="1:21" ht="15.75" customHeight="1">
      <c r="B309" s="2668" t="s">
        <v>668</v>
      </c>
      <c r="C309" s="2670" t="s">
        <v>669</v>
      </c>
      <c r="D309" s="2671"/>
      <c r="E309" s="2672"/>
      <c r="F309" s="2673" t="s">
        <v>670</v>
      </c>
      <c r="G309" s="2668" t="s">
        <v>117</v>
      </c>
    </row>
    <row r="310" spans="1:21" ht="23.25" customHeight="1">
      <c r="B310" s="2669"/>
      <c r="C310" s="1255" t="s">
        <v>671</v>
      </c>
      <c r="D310" s="1255" t="s">
        <v>672</v>
      </c>
      <c r="E310" s="1255" t="s">
        <v>673</v>
      </c>
      <c r="F310" s="2673"/>
      <c r="G310" s="2669"/>
      <c r="H310" s="1256"/>
      <c r="I310" s="1256"/>
      <c r="J310" s="1256"/>
      <c r="K310" s="1256"/>
      <c r="L310" s="1256"/>
      <c r="M310" s="1257"/>
      <c r="N310" s="1258"/>
    </row>
    <row r="311" spans="1:21" ht="23.25" customHeight="1">
      <c r="B311" s="1255" t="s">
        <v>1998</v>
      </c>
      <c r="C311" s="1259">
        <v>470000</v>
      </c>
      <c r="D311" s="1259">
        <v>47000</v>
      </c>
      <c r="E311" s="1260">
        <v>517000</v>
      </c>
      <c r="F311" s="1261" t="s">
        <v>2111</v>
      </c>
      <c r="G311" s="1262"/>
      <c r="H311" s="1256"/>
      <c r="I311" s="1256"/>
      <c r="J311" s="1256"/>
      <c r="K311" s="1256"/>
      <c r="L311" s="1256"/>
      <c r="M311" s="1263"/>
      <c r="N311" s="1264"/>
      <c r="P311" s="1254"/>
      <c r="Q311" s="1254"/>
    </row>
    <row r="312" spans="1:21" s="1268" customFormat="1" ht="18.600000000000001" customHeight="1">
      <c r="A312" s="1256"/>
      <c r="B312" s="1255" t="s">
        <v>674</v>
      </c>
      <c r="C312" s="1259">
        <v>950000</v>
      </c>
      <c r="D312" s="1259">
        <v>95000</v>
      </c>
      <c r="E312" s="1260">
        <v>1045000</v>
      </c>
      <c r="F312" s="1265" t="s">
        <v>2116</v>
      </c>
      <c r="G312" s="1262"/>
      <c r="H312" s="1256"/>
      <c r="I312" s="1256"/>
      <c r="J312" s="1256"/>
      <c r="K312" s="1256"/>
      <c r="L312" s="1256"/>
      <c r="M312" s="1263"/>
      <c r="N312" s="1264"/>
      <c r="O312" s="1258"/>
      <c r="P312" s="1254"/>
      <c r="Q312" s="1254"/>
      <c r="R312" s="1266"/>
      <c r="S312" s="1266"/>
      <c r="T312" s="1266"/>
      <c r="U312" s="1267"/>
    </row>
    <row r="313" spans="1:21" s="1268" customFormat="1" ht="15" customHeight="1" thickBot="1">
      <c r="A313" s="1256"/>
      <c r="B313" s="1255" t="s">
        <v>675</v>
      </c>
      <c r="C313" s="1259">
        <v>1250000</v>
      </c>
      <c r="D313" s="1259">
        <v>125000</v>
      </c>
      <c r="E313" s="1269">
        <v>1375000</v>
      </c>
      <c r="F313" s="1261" t="s">
        <v>2116</v>
      </c>
      <c r="G313" s="1262"/>
      <c r="H313" s="1256"/>
      <c r="I313" s="1256"/>
      <c r="J313" s="1256"/>
      <c r="K313" s="1256"/>
      <c r="L313" s="1256"/>
      <c r="M313" s="1263"/>
      <c r="N313" s="1264"/>
      <c r="O313" s="1270"/>
      <c r="P313" s="1254"/>
      <c r="Q313" s="1254"/>
      <c r="R313" s="1266"/>
      <c r="S313" s="1271"/>
      <c r="T313" s="1271"/>
      <c r="U313" s="1267"/>
    </row>
    <row r="314" spans="1:21" s="1268" customFormat="1" ht="15" customHeight="1" thickBot="1">
      <c r="A314" s="1256"/>
      <c r="B314" s="1272" t="s">
        <v>673</v>
      </c>
      <c r="C314" s="1273">
        <f>SUM(C311:C313)</f>
        <v>2670000</v>
      </c>
      <c r="D314" s="1273">
        <f>SUM(D311:D313)</f>
        <v>267000</v>
      </c>
      <c r="E314" s="1273">
        <f>SUM(E311:E313)</f>
        <v>2937000</v>
      </c>
      <c r="F314" s="1274"/>
      <c r="G314" s="1262"/>
      <c r="H314" s="1256"/>
      <c r="I314" s="1256"/>
      <c r="J314" s="1256"/>
      <c r="K314" s="1256"/>
      <c r="L314" s="1256"/>
      <c r="M314" s="1263"/>
      <c r="N314" s="1264"/>
      <c r="O314" s="1270"/>
      <c r="P314" s="1254"/>
      <c r="Q314" s="1254"/>
      <c r="R314" s="1266"/>
      <c r="S314" s="1271"/>
      <c r="T314" s="1271"/>
      <c r="U314" s="1267"/>
    </row>
    <row r="315" spans="1:21" s="1268" customFormat="1" ht="15" customHeight="1">
      <c r="A315" s="1256"/>
      <c r="B315" s="1275"/>
      <c r="C315" s="1276"/>
      <c r="D315" s="1277"/>
      <c r="E315" s="1278"/>
      <c r="F315" s="1256"/>
      <c r="G315" s="1256"/>
      <c r="H315" s="1256"/>
      <c r="I315" s="1256"/>
      <c r="J315" s="1256"/>
      <c r="K315" s="1256"/>
      <c r="L315" s="1263"/>
      <c r="M315" s="1264"/>
      <c r="N315" s="468"/>
      <c r="O315" s="1270"/>
      <c r="P315" s="1254"/>
      <c r="Q315" s="1254"/>
      <c r="R315" s="1266"/>
      <c r="S315" s="1271"/>
      <c r="T315" s="1271"/>
      <c r="U315" s="1267"/>
    </row>
    <row r="316" spans="1:21" s="1268" customFormat="1" ht="15" customHeight="1">
      <c r="A316" s="1256"/>
      <c r="B316" s="1078"/>
      <c r="C316" s="1079"/>
      <c r="D316" s="1078"/>
      <c r="E316" s="1078"/>
      <c r="F316" s="1078"/>
      <c r="G316" s="1078"/>
      <c r="H316" s="1078"/>
      <c r="I316" s="1078"/>
      <c r="J316" s="1078"/>
      <c r="K316" s="1078"/>
      <c r="L316" s="1078"/>
      <c r="M316" s="1078"/>
      <c r="N316" s="1078"/>
      <c r="O316" s="1270"/>
      <c r="P316" s="1254"/>
      <c r="Q316" s="1254"/>
      <c r="R316" s="1266"/>
      <c r="S316" s="1271"/>
      <c r="T316" s="1271"/>
      <c r="U316" s="1267"/>
    </row>
    <row r="317" spans="1:21" s="1268" customFormat="1" ht="15" customHeight="1">
      <c r="A317" s="1256"/>
      <c r="B317" s="1078"/>
      <c r="C317" s="1079"/>
      <c r="D317" s="1078"/>
      <c r="E317" s="1078"/>
      <c r="F317" s="1078"/>
      <c r="G317" s="1078"/>
      <c r="H317" s="1078"/>
      <c r="I317" s="1078"/>
      <c r="J317" s="1078"/>
      <c r="K317" s="1078"/>
      <c r="L317" s="1078"/>
      <c r="M317" s="1078"/>
      <c r="N317" s="1078"/>
      <c r="O317" s="1270"/>
      <c r="P317" s="1078"/>
      <c r="Q317" s="1078"/>
      <c r="R317" s="1266"/>
      <c r="S317" s="1271"/>
      <c r="T317" s="1271"/>
      <c r="U317" s="1267"/>
    </row>
    <row r="319" spans="1:21">
      <c r="K319" s="1216">
        <f>+K307+K134</f>
        <v>3993184</v>
      </c>
    </row>
  </sheetData>
  <mergeCells count="49">
    <mergeCell ref="L10:L11"/>
    <mergeCell ref="I137:K138"/>
    <mergeCell ref="B6:C6"/>
    <mergeCell ref="B7:C7"/>
    <mergeCell ref="B8:C8"/>
    <mergeCell ref="B138:C138"/>
    <mergeCell ref="B137:C137"/>
    <mergeCell ref="F10:F11"/>
    <mergeCell ref="G10:G11"/>
    <mergeCell ref="H10:H11"/>
    <mergeCell ref="I10:I11"/>
    <mergeCell ref="N10:N11"/>
    <mergeCell ref="B132:B134"/>
    <mergeCell ref="B136:C136"/>
    <mergeCell ref="I136:K136"/>
    <mergeCell ref="B5:C5"/>
    <mergeCell ref="I5:K5"/>
    <mergeCell ref="I6:K8"/>
    <mergeCell ref="B9:B11"/>
    <mergeCell ref="C9:C11"/>
    <mergeCell ref="D9:F9"/>
    <mergeCell ref="G9:J9"/>
    <mergeCell ref="K9:K11"/>
    <mergeCell ref="L9:N9"/>
    <mergeCell ref="D10:D11"/>
    <mergeCell ref="E10:E11"/>
    <mergeCell ref="J10:J11"/>
    <mergeCell ref="B309:B310"/>
    <mergeCell ref="C309:E309"/>
    <mergeCell ref="F309:F310"/>
    <mergeCell ref="G309:G310"/>
    <mergeCell ref="M10:M11"/>
    <mergeCell ref="B139:B141"/>
    <mergeCell ref="C139:C141"/>
    <mergeCell ref="D139:F139"/>
    <mergeCell ref="G139:J139"/>
    <mergeCell ref="K139:K141"/>
    <mergeCell ref="L139:N139"/>
    <mergeCell ref="D140:D141"/>
    <mergeCell ref="E140:E141"/>
    <mergeCell ref="F140:F141"/>
    <mergeCell ref="G140:G141"/>
    <mergeCell ref="H140:H141"/>
    <mergeCell ref="M140:M141"/>
    <mergeCell ref="N140:N141"/>
    <mergeCell ref="J140:J141"/>
    <mergeCell ref="L140:L141"/>
    <mergeCell ref="B302:B307"/>
    <mergeCell ref="I140:I141"/>
  </mergeCells>
  <phoneticPr fontId="6" type="noConversion"/>
  <conditionalFormatting sqref="M315">
    <cfRule type="expression" dxfId="3" priority="1" stopIfTrue="1">
      <formula>AND(NOT($M315="-"),#REF!="임대료")</formula>
    </cfRule>
    <cfRule type="expression" dxfId="2" priority="2" stopIfTrue="1">
      <formula>AND(NOT($M315="-"),#REF!="관리비")</formula>
    </cfRule>
  </conditionalFormatting>
  <conditionalFormatting sqref="N311:N314">
    <cfRule type="expression" dxfId="1" priority="3" stopIfTrue="1">
      <formula>AND(NOT($N311="-"),#REF!="임대료")</formula>
    </cfRule>
    <cfRule type="expression" dxfId="0" priority="4" stopIfTrue="1">
      <formula>AND(NOT($N311="-"),#REF!="관리비")</formula>
    </cfRule>
  </conditionalFormatting>
  <dataValidations disablePrompts="1" count="2">
    <dataValidation type="list" allowBlank="1" showInputMessage="1" showErrorMessage="1" sqref="N315">
      <formula1>$D$163:$D$202</formula1>
    </dataValidation>
    <dataValidation type="list" allowBlank="1" showInputMessage="1" showErrorMessage="1" sqref="WVV313:WVV317 WLZ313:WLZ317 WCD313:WCD317 VSH313:VSH317 VIL313:VIL317 UYP313:UYP317 UOT313:UOT317 UEX313:UEX317 TVB313:TVB317 TLF313:TLF317 TBJ313:TBJ317 SRN313:SRN317 SHR313:SHR317 RXV313:RXV317 RNZ313:RNZ317 RED313:RED317 QUH313:QUH317 QKL313:QKL317 QAP313:QAP317 PQT313:PQT317 PGX313:PGX317 OXB313:OXB317 ONF313:ONF317 ODJ313:ODJ317 NTN313:NTN317 NJR313:NJR317 MZV313:MZV317 MPZ313:MPZ317 MGD313:MGD317 LWH313:LWH317 LML313:LML317 LCP313:LCP317 KST313:KST317 KIX313:KIX317 JZB313:JZB317 JPF313:JPF317 JFJ313:JFJ317 IVN313:IVN317 ILR313:ILR317 IBV313:IBV317 HRZ313:HRZ317 HID313:HID317 GYH313:GYH317 GOL313:GOL317 GEP313:GEP317 FUT313:FUT317 FKX313:FKX317 FBB313:FBB317 ERF313:ERF317 EHJ313:EHJ317 DXN313:DXN317 DNR313:DNR317 DDV313:DDV317 CTZ313:CTZ317 CKD313:CKD317 CAH313:CAH317 BQL313:BQL317 BGP313:BGP317 AWT313:AWT317 AMX313:AMX317 ADB313:ADB317 TF313:TF317 JJ313:JJ317">
      <formula1>$E$165:$E$204</formula1>
    </dataValidation>
  </dataValidations>
  <pageMargins left="0.25" right="0.25" top="0.75" bottom="0.75" header="0.3" footer="0.3"/>
  <pageSetup paperSize="9" scale="27" fitToHeight="3" orientation="portrait" r:id="rId1"/>
  <rowBreaks count="1" manualBreakCount="1">
    <brk id="134" max="14" man="1"/>
  </rowBreaks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79998168889431442"/>
  </sheetPr>
  <dimension ref="A2:AA55"/>
  <sheetViews>
    <sheetView showGridLines="0" view="pageBreakPreview" zoomScale="70" zoomScaleNormal="100" zoomScaleSheetLayoutView="70" workbookViewId="0">
      <selection activeCell="B2" sqref="B2"/>
    </sheetView>
  </sheetViews>
  <sheetFormatPr defaultColWidth="9" defaultRowHeight="15"/>
  <cols>
    <col min="1" max="1" width="2.25" style="1279" customWidth="1"/>
    <col min="2" max="2" width="4.625" style="1279" customWidth="1"/>
    <col min="3" max="3" width="14.25" style="1006" customWidth="1"/>
    <col min="4" max="4" width="5.375" style="1006" customWidth="1"/>
    <col min="5" max="5" width="7.75" style="1006" customWidth="1"/>
    <col min="6" max="6" width="7.125" style="1006" customWidth="1"/>
    <col min="7" max="9" width="9" style="1006" customWidth="1"/>
    <col min="10" max="10" width="6.875" style="1006" bestFit="1" customWidth="1"/>
    <col min="11" max="11" width="10.125" style="1006" customWidth="1"/>
    <col min="12" max="16" width="9" style="1006" customWidth="1"/>
    <col min="17" max="17" width="2" style="1279" customWidth="1"/>
    <col min="18" max="18" width="14.625" style="1006" bestFit="1" customWidth="1"/>
    <col min="19" max="19" width="15.875" style="1006" bestFit="1" customWidth="1"/>
    <col min="20" max="20" width="12.875" style="1006" bestFit="1" customWidth="1"/>
    <col min="21" max="21" width="12.75" style="1006" bestFit="1" customWidth="1"/>
    <col min="22" max="22" width="9.875" style="1006" bestFit="1" customWidth="1"/>
    <col min="23" max="23" width="10" style="1006" bestFit="1" customWidth="1"/>
    <col min="24" max="24" width="9.125" style="1006" bestFit="1" customWidth="1"/>
    <col min="25" max="25" width="13.125" style="1006" bestFit="1" customWidth="1"/>
    <col min="26" max="26" width="9.875" style="1006" bestFit="1" customWidth="1"/>
    <col min="27" max="16384" width="9" style="1006"/>
  </cols>
  <sheetData>
    <row r="2" spans="1:26" ht="27.6" customHeight="1">
      <c r="A2" s="2122"/>
      <c r="B2" s="2121" t="s">
        <v>700</v>
      </c>
      <c r="C2" s="2121"/>
      <c r="D2" s="2123"/>
      <c r="E2" s="2123"/>
      <c r="F2" s="2123"/>
      <c r="G2" s="2123"/>
      <c r="H2" s="2123"/>
      <c r="I2" s="2123"/>
      <c r="J2" s="2123"/>
      <c r="K2" s="2124"/>
      <c r="L2" s="2124"/>
      <c r="M2" s="2124"/>
      <c r="N2" s="2124"/>
      <c r="O2" s="2124"/>
      <c r="P2" s="2124"/>
      <c r="Q2" s="2124"/>
    </row>
    <row r="3" spans="1:26">
      <c r="D3" s="1011"/>
      <c r="E3" s="1011"/>
      <c r="F3" s="1011"/>
      <c r="G3" s="1011"/>
      <c r="H3" s="1011"/>
      <c r="I3" s="1011"/>
      <c r="J3" s="1011"/>
      <c r="K3" s="1011"/>
      <c r="L3" s="1011"/>
      <c r="M3" s="1011"/>
      <c r="N3" s="1011"/>
      <c r="O3" s="1011"/>
      <c r="P3" s="1011"/>
      <c r="Q3" s="1280"/>
    </row>
    <row r="4" spans="1:26">
      <c r="B4" s="976" t="s">
        <v>1700</v>
      </c>
      <c r="D4" s="1281"/>
      <c r="E4" s="1281"/>
      <c r="F4" s="1281"/>
      <c r="G4" s="1281"/>
      <c r="H4" s="1281"/>
      <c r="I4" s="1281"/>
      <c r="J4" s="1281"/>
      <c r="L4" s="1282"/>
      <c r="M4" s="1282"/>
      <c r="N4" s="1282"/>
      <c r="O4" s="1282"/>
      <c r="P4" s="1282" t="s">
        <v>678</v>
      </c>
      <c r="Q4" s="1283"/>
    </row>
    <row r="5" spans="1:26" ht="3.75" customHeight="1">
      <c r="C5" s="980"/>
      <c r="D5" s="1281"/>
      <c r="E5" s="1281"/>
      <c r="F5" s="1281"/>
      <c r="G5" s="1281"/>
      <c r="H5" s="1281"/>
      <c r="I5" s="1281"/>
      <c r="J5" s="1281"/>
      <c r="K5" s="1284"/>
      <c r="L5" s="1284"/>
      <c r="M5" s="1284"/>
      <c r="N5" s="1284"/>
      <c r="O5" s="1284"/>
      <c r="P5" s="1284"/>
      <c r="Q5" s="1285"/>
    </row>
    <row r="6" spans="1:26" ht="17.45" customHeight="1">
      <c r="B6" s="2753" t="s">
        <v>2240</v>
      </c>
      <c r="C6" s="2753" t="s">
        <v>680</v>
      </c>
      <c r="D6" s="2756" t="s">
        <v>681</v>
      </c>
      <c r="E6" s="2753" t="s">
        <v>1675</v>
      </c>
      <c r="F6" s="2753" t="s">
        <v>682</v>
      </c>
      <c r="G6" s="2753" t="s">
        <v>683</v>
      </c>
      <c r="H6" s="2753" t="s">
        <v>684</v>
      </c>
      <c r="I6" s="2259" t="s">
        <v>685</v>
      </c>
      <c r="J6" s="2753" t="s">
        <v>2047</v>
      </c>
      <c r="K6" s="2753" t="s">
        <v>687</v>
      </c>
      <c r="L6" s="2753" t="s">
        <v>688</v>
      </c>
      <c r="M6" s="2753" t="s">
        <v>689</v>
      </c>
      <c r="N6" s="2753" t="s">
        <v>690</v>
      </c>
      <c r="O6" s="2753" t="s">
        <v>1701</v>
      </c>
      <c r="P6" s="2753" t="s">
        <v>190</v>
      </c>
      <c r="Q6" s="1286"/>
    </row>
    <row r="7" spans="1:26" ht="20.25" customHeight="1">
      <c r="B7" s="2753"/>
      <c r="C7" s="2753"/>
      <c r="D7" s="2756"/>
      <c r="E7" s="2753"/>
      <c r="F7" s="2753"/>
      <c r="G7" s="2753"/>
      <c r="H7" s="2753"/>
      <c r="I7" s="2259" t="s">
        <v>691</v>
      </c>
      <c r="J7" s="2753"/>
      <c r="K7" s="2753"/>
      <c r="L7" s="2753"/>
      <c r="M7" s="2753"/>
      <c r="N7" s="2753"/>
      <c r="O7" s="2753"/>
      <c r="P7" s="2753"/>
      <c r="Q7" s="1286"/>
      <c r="S7" s="1287" t="s">
        <v>165</v>
      </c>
      <c r="T7" s="1287" t="s">
        <v>692</v>
      </c>
      <c r="U7" s="1288" t="s">
        <v>693</v>
      </c>
      <c r="W7" s="2351" t="s">
        <v>679</v>
      </c>
      <c r="X7" s="2351" t="s">
        <v>686</v>
      </c>
      <c r="Y7" s="2351" t="s">
        <v>2092</v>
      </c>
    </row>
    <row r="8" spans="1:26" ht="33.75" customHeight="1">
      <c r="B8" s="2754" t="s">
        <v>2236</v>
      </c>
      <c r="C8" s="1289" t="s">
        <v>694</v>
      </c>
      <c r="D8" s="1290">
        <v>2007</v>
      </c>
      <c r="E8" s="1291">
        <f>S8</f>
        <v>217797.96900053447</v>
      </c>
      <c r="F8" s="1292">
        <v>0.37419999999999998</v>
      </c>
      <c r="G8" s="1293">
        <v>0</v>
      </c>
      <c r="H8" s="1294">
        <v>27230.063124999997</v>
      </c>
      <c r="I8" s="1295">
        <f>'2-1) Rent Roll'!I109</f>
        <v>99.697950000000006</v>
      </c>
      <c r="J8" s="1296">
        <f>I8/H8</f>
        <v>3.6613190921495529E-3</v>
      </c>
      <c r="K8" s="1297">
        <v>600000</v>
      </c>
      <c r="L8" s="1297">
        <v>60000</v>
      </c>
      <c r="M8" s="1297">
        <v>35000</v>
      </c>
      <c r="N8" s="1297">
        <v>1</v>
      </c>
      <c r="O8" s="1298">
        <v>2</v>
      </c>
      <c r="P8" s="1298">
        <f>L8*(12-O8-N8/5)/12-G8*F8/60</f>
        <v>49000</v>
      </c>
      <c r="Q8" s="1299"/>
      <c r="S8" s="1300">
        <f>(K8*3%/12+(L8*(12-N8-O8)/12)+M8)/F8</f>
        <v>217797.96900053447</v>
      </c>
      <c r="T8" s="1301">
        <f t="shared" ref="T8:T21" si="0">(K8*3%/12+P8+M8)/F8/1000</f>
        <v>228.48743987172637</v>
      </c>
      <c r="U8" s="1302">
        <f>S8</f>
        <v>217797.96900053447</v>
      </c>
      <c r="W8" s="2352" t="s">
        <v>694</v>
      </c>
      <c r="X8" s="2353">
        <f>100%-J8</f>
        <v>0.99633868090785049</v>
      </c>
      <c r="Y8" s="2354">
        <f>S8</f>
        <v>217797.96900053447</v>
      </c>
    </row>
    <row r="9" spans="1:26" ht="33.75" customHeight="1">
      <c r="B9" s="2754"/>
      <c r="C9" s="1303" t="s">
        <v>695</v>
      </c>
      <c r="D9" s="1290">
        <v>2011</v>
      </c>
      <c r="E9" s="1304">
        <f t="shared" ref="E9:E14" si="1">S9</f>
        <v>243568.60158311346</v>
      </c>
      <c r="F9" s="1305">
        <v>0.45479999999999998</v>
      </c>
      <c r="G9" s="1825">
        <v>0</v>
      </c>
      <c r="H9" s="1306">
        <v>69571</v>
      </c>
      <c r="I9" s="1295">
        <v>493.5</v>
      </c>
      <c r="J9" s="1296">
        <f t="shared" ref="J9:J14" si="2">I9/H9</f>
        <v>7.0934728550689228E-3</v>
      </c>
      <c r="K9" s="1298">
        <v>710000</v>
      </c>
      <c r="L9" s="1298">
        <v>71000</v>
      </c>
      <c r="M9" s="1298">
        <v>38000</v>
      </c>
      <c r="N9" s="1298">
        <v>0</v>
      </c>
      <c r="O9" s="1298">
        <v>0</v>
      </c>
      <c r="P9" s="1298">
        <f t="shared" ref="P9:P14" si="3">L9*(12-O9-N9/5)/12-G9*F9/60</f>
        <v>71000</v>
      </c>
      <c r="Q9" s="1299"/>
      <c r="S9" s="1300">
        <f>(K9*3%/12+(L9*(12-N9-O9)/12)+M9)/F9</f>
        <v>243568.60158311346</v>
      </c>
      <c r="T9" s="1301">
        <f t="shared" si="0"/>
        <v>243.56860158311346</v>
      </c>
      <c r="U9" s="1302">
        <f>S9</f>
        <v>243568.60158311346</v>
      </c>
      <c r="W9" s="2355" t="s">
        <v>696</v>
      </c>
      <c r="X9" s="2353">
        <f t="shared" ref="X9:X18" si="4">100%-J9</f>
        <v>0.99290652714493111</v>
      </c>
      <c r="Y9" s="2354">
        <f t="shared" ref="Y9:Y18" si="5">S9</f>
        <v>243568.60158311346</v>
      </c>
    </row>
    <row r="10" spans="1:26" ht="33.75" customHeight="1">
      <c r="B10" s="2754"/>
      <c r="C10" s="1303" t="s">
        <v>697</v>
      </c>
      <c r="D10" s="1290">
        <v>2014</v>
      </c>
      <c r="E10" s="1304">
        <f t="shared" si="1"/>
        <v>157295.94832648267</v>
      </c>
      <c r="F10" s="1307">
        <v>0.51090000000000002</v>
      </c>
      <c r="G10" s="1826">
        <v>800000</v>
      </c>
      <c r="H10" s="1309">
        <v>28813</v>
      </c>
      <c r="I10" s="1295">
        <v>2981.67</v>
      </c>
      <c r="J10" s="1296">
        <f t="shared" si="2"/>
        <v>0.10348349703258945</v>
      </c>
      <c r="K10" s="1310">
        <v>845000</v>
      </c>
      <c r="L10" s="1310">
        <v>84500</v>
      </c>
      <c r="M10" s="1310">
        <v>36000</v>
      </c>
      <c r="N10" s="1310">
        <v>3</v>
      </c>
      <c r="O10" s="1310">
        <v>3</v>
      </c>
      <c r="P10" s="1298">
        <f t="shared" si="3"/>
        <v>52338</v>
      </c>
      <c r="Q10" s="1299"/>
      <c r="S10" s="1300">
        <f t="shared" ref="S10:S21" si="6">(K10*3%/12+(L10*(12-N10-O10)/12)+M10)/F10</f>
        <v>157295.94832648267</v>
      </c>
      <c r="T10" s="1301">
        <f t="shared" si="0"/>
        <v>177.04149540027402</v>
      </c>
      <c r="U10" s="1302">
        <f>S10</f>
        <v>157295.94832648267</v>
      </c>
      <c r="W10" s="2355" t="s">
        <v>697</v>
      </c>
      <c r="X10" s="2353">
        <f t="shared" si="4"/>
        <v>0.89651650296741059</v>
      </c>
      <c r="Y10" s="2354">
        <f t="shared" si="5"/>
        <v>157295.94832648267</v>
      </c>
      <c r="Z10" s="1311"/>
    </row>
    <row r="11" spans="1:26" ht="33.75" customHeight="1">
      <c r="B11" s="2754"/>
      <c r="C11" s="1303" t="s">
        <v>698</v>
      </c>
      <c r="D11" s="1290">
        <v>2012</v>
      </c>
      <c r="E11" s="1304">
        <f t="shared" si="1"/>
        <v>178648.84393063583</v>
      </c>
      <c r="F11" s="1307">
        <v>0.4844</v>
      </c>
      <c r="G11" s="1308">
        <v>0</v>
      </c>
      <c r="H11" s="1309">
        <v>15883.88</v>
      </c>
      <c r="I11" s="1295">
        <v>0</v>
      </c>
      <c r="J11" s="1296">
        <f t="shared" si="2"/>
        <v>0</v>
      </c>
      <c r="K11" s="1310">
        <v>665000</v>
      </c>
      <c r="L11" s="1310">
        <v>66500</v>
      </c>
      <c r="M11" s="1310">
        <v>35000</v>
      </c>
      <c r="N11" s="1310">
        <v>1</v>
      </c>
      <c r="O11" s="1310">
        <v>2</v>
      </c>
      <c r="P11" s="1298">
        <f t="shared" si="3"/>
        <v>54308.333333333336</v>
      </c>
      <c r="Q11" s="1299"/>
      <c r="S11" s="1300">
        <f t="shared" si="6"/>
        <v>178648.84393063583</v>
      </c>
      <c r="T11" s="1301">
        <f t="shared" si="0"/>
        <v>187.8010597302505</v>
      </c>
      <c r="U11" s="1302">
        <f>S11</f>
        <v>178648.84393063583</v>
      </c>
      <c r="V11" s="1312"/>
      <c r="W11" s="2355" t="s">
        <v>698</v>
      </c>
      <c r="X11" s="2353">
        <f t="shared" si="4"/>
        <v>1</v>
      </c>
      <c r="Y11" s="2354">
        <f t="shared" si="5"/>
        <v>178648.84393063583</v>
      </c>
      <c r="Z11" s="1311"/>
    </row>
    <row r="12" spans="1:26" ht="33.75" customHeight="1">
      <c r="B12" s="2754"/>
      <c r="C12" s="1303" t="s">
        <v>515</v>
      </c>
      <c r="D12" s="1290">
        <v>2017</v>
      </c>
      <c r="E12" s="1304">
        <f t="shared" si="1"/>
        <v>212778.7530069566</v>
      </c>
      <c r="F12" s="1307">
        <v>0.51270000000000004</v>
      </c>
      <c r="G12" s="1308">
        <v>0</v>
      </c>
      <c r="H12" s="1309">
        <v>29990</v>
      </c>
      <c r="I12" s="1295">
        <v>4987.13</v>
      </c>
      <c r="J12" s="1296">
        <f t="shared" si="2"/>
        <v>0.16629309769923309</v>
      </c>
      <c r="K12" s="1310">
        <v>770000</v>
      </c>
      <c r="L12" s="1310">
        <v>77000</v>
      </c>
      <c r="M12" s="1310">
        <v>43000</v>
      </c>
      <c r="N12" s="1310">
        <v>1</v>
      </c>
      <c r="O12" s="1310">
        <v>1</v>
      </c>
      <c r="P12" s="1298">
        <f t="shared" si="3"/>
        <v>69300</v>
      </c>
      <c r="Q12" s="1299"/>
      <c r="S12" s="1300">
        <f t="shared" si="6"/>
        <v>212778.7530069566</v>
      </c>
      <c r="T12" s="1301">
        <f t="shared" si="0"/>
        <v>222.79110590988881</v>
      </c>
      <c r="U12" s="1302">
        <f t="shared" ref="U12:U13" si="7">S12</f>
        <v>212778.7530069566</v>
      </c>
      <c r="W12" s="2355" t="s">
        <v>515</v>
      </c>
      <c r="X12" s="2353">
        <f t="shared" si="4"/>
        <v>0.83370690230076694</v>
      </c>
      <c r="Y12" s="2354">
        <f t="shared" si="5"/>
        <v>212778.7530069566</v>
      </c>
    </row>
    <row r="13" spans="1:26" ht="33.75" customHeight="1">
      <c r="B13" s="2754"/>
      <c r="C13" s="1303" t="s">
        <v>1677</v>
      </c>
      <c r="D13" s="1290">
        <v>2007</v>
      </c>
      <c r="E13" s="1304">
        <f t="shared" si="1"/>
        <v>161690.37813552975</v>
      </c>
      <c r="F13" s="1307">
        <v>0.53420000000000001</v>
      </c>
      <c r="G13" s="1308">
        <v>0</v>
      </c>
      <c r="H13" s="1309">
        <v>20161.240000000002</v>
      </c>
      <c r="I13" s="1295">
        <v>0</v>
      </c>
      <c r="J13" s="1296">
        <f t="shared" si="2"/>
        <v>0</v>
      </c>
      <c r="K13" s="1310">
        <v>550000</v>
      </c>
      <c r="L13" s="1310">
        <v>55000</v>
      </c>
      <c r="M13" s="1310">
        <v>30000</v>
      </c>
      <c r="N13" s="1310">
        <v>0</v>
      </c>
      <c r="O13" s="1310">
        <v>0</v>
      </c>
      <c r="P13" s="1298">
        <f t="shared" si="3"/>
        <v>55000</v>
      </c>
      <c r="Q13" s="1299"/>
      <c r="S13" s="1300">
        <f t="shared" si="6"/>
        <v>161690.37813552975</v>
      </c>
      <c r="T13" s="1301">
        <f t="shared" si="0"/>
        <v>161.69037813552976</v>
      </c>
      <c r="U13" s="1302">
        <f t="shared" si="7"/>
        <v>161690.37813552975</v>
      </c>
      <c r="W13" s="2355" t="s">
        <v>1677</v>
      </c>
      <c r="X13" s="2353">
        <f>100%-J13</f>
        <v>1</v>
      </c>
      <c r="Y13" s="2356">
        <f t="shared" si="5"/>
        <v>161690.37813552975</v>
      </c>
    </row>
    <row r="14" spans="1:26" s="1313" customFormat="1" ht="33.75" customHeight="1">
      <c r="A14" s="1279"/>
      <c r="B14" s="2754"/>
      <c r="C14" s="1303" t="s">
        <v>2246</v>
      </c>
      <c r="D14" s="1290">
        <v>2011</v>
      </c>
      <c r="E14" s="1304">
        <f t="shared" si="1"/>
        <v>176700</v>
      </c>
      <c r="F14" s="1307">
        <v>0.5</v>
      </c>
      <c r="G14" s="1308">
        <v>0</v>
      </c>
      <c r="H14" s="1309">
        <v>8468</v>
      </c>
      <c r="I14" s="1295">
        <v>333.62</v>
      </c>
      <c r="J14" s="1296">
        <f t="shared" si="2"/>
        <v>3.9397732640529051E-2</v>
      </c>
      <c r="K14" s="1310">
        <v>540000</v>
      </c>
      <c r="L14" s="1310">
        <v>54000</v>
      </c>
      <c r="M14" s="1310">
        <v>33000</v>
      </c>
      <c r="N14" s="1310">
        <v>0</v>
      </c>
      <c r="O14" s="1310">
        <v>0</v>
      </c>
      <c r="P14" s="1298">
        <f t="shared" si="3"/>
        <v>54000</v>
      </c>
      <c r="Q14" s="1299"/>
      <c r="S14" s="1300">
        <f t="shared" si="6"/>
        <v>176700</v>
      </c>
      <c r="T14" s="1301">
        <f t="shared" si="0"/>
        <v>176.7</v>
      </c>
      <c r="U14" s="1314">
        <f>S14</f>
        <v>176700</v>
      </c>
      <c r="W14" s="1303" t="s">
        <v>2246</v>
      </c>
      <c r="X14" s="2353">
        <f t="shared" si="4"/>
        <v>0.96060226735947096</v>
      </c>
      <c r="Y14" s="2354">
        <f t="shared" si="5"/>
        <v>176700</v>
      </c>
    </row>
    <row r="15" spans="1:26" s="1313" customFormat="1" ht="33.75" customHeight="1">
      <c r="A15" s="1279"/>
      <c r="B15" s="2260" t="s">
        <v>699</v>
      </c>
      <c r="C15" s="2260"/>
      <c r="D15" s="2260"/>
      <c r="E15" s="2261">
        <f>AVERAGE(E8:E14)</f>
        <v>192640.07056903612</v>
      </c>
      <c r="F15" s="2261">
        <f t="shared" ref="F15:P15" si="8">AVERAGE(F8:F14)</f>
        <v>0.48159999999999997</v>
      </c>
      <c r="G15" s="2261">
        <f t="shared" si="8"/>
        <v>114285.71428571429</v>
      </c>
      <c r="H15" s="2261">
        <f t="shared" si="8"/>
        <v>28588.169017857141</v>
      </c>
      <c r="I15" s="2261">
        <f t="shared" si="8"/>
        <v>1270.8025642857144</v>
      </c>
      <c r="J15" s="2359">
        <f t="shared" si="8"/>
        <v>4.5704159902795714E-2</v>
      </c>
      <c r="K15" s="2261">
        <f t="shared" si="8"/>
        <v>668571.42857142852</v>
      </c>
      <c r="L15" s="2261">
        <f t="shared" si="8"/>
        <v>66857.142857142855</v>
      </c>
      <c r="M15" s="2261">
        <f t="shared" si="8"/>
        <v>35714.285714285717</v>
      </c>
      <c r="N15" s="2261">
        <f t="shared" si="8"/>
        <v>0.8571428571428571</v>
      </c>
      <c r="O15" s="2261">
        <f t="shared" si="8"/>
        <v>1.1428571428571428</v>
      </c>
      <c r="P15" s="2261">
        <f t="shared" si="8"/>
        <v>57849.476190476198</v>
      </c>
      <c r="Q15" s="1299"/>
      <c r="S15" s="1300"/>
      <c r="T15" s="1301"/>
      <c r="U15" s="1314"/>
      <c r="W15" s="2355"/>
      <c r="X15" s="2353"/>
      <c r="Y15" s="2354"/>
    </row>
    <row r="16" spans="1:26" s="1313" customFormat="1" ht="33.75" customHeight="1">
      <c r="A16" s="1279"/>
      <c r="B16" s="2755" t="s">
        <v>2241</v>
      </c>
      <c r="C16" s="1303" t="s">
        <v>2242</v>
      </c>
      <c r="D16" s="1290">
        <v>2020</v>
      </c>
      <c r="E16" s="1304">
        <f t="shared" ref="E16:E18" si="9">S16</f>
        <v>422637.67828843102</v>
      </c>
      <c r="F16" s="1307">
        <v>0.50480000000000003</v>
      </c>
      <c r="G16" s="1308">
        <v>0</v>
      </c>
      <c r="H16" s="1309">
        <v>64721</v>
      </c>
      <c r="I16" s="1295">
        <v>3727.88</v>
      </c>
      <c r="J16" s="1296">
        <f t="shared" ref="J16:J18" si="10">I16/H16</f>
        <v>5.7599233633596515E-2</v>
      </c>
      <c r="K16" s="1310">
        <v>1579000</v>
      </c>
      <c r="L16" s="1310">
        <v>157900</v>
      </c>
      <c r="M16" s="1310">
        <v>51500</v>
      </c>
      <c r="N16" s="1310">
        <v>0</v>
      </c>
      <c r="O16" s="1310">
        <v>0</v>
      </c>
      <c r="P16" s="1298">
        <f t="shared" ref="P16:P18" si="11">L16*(12-O16-N16/5)/12-G16*F16/60</f>
        <v>157900</v>
      </c>
      <c r="Q16" s="1299"/>
      <c r="S16" s="1300">
        <f t="shared" ref="S16:S18" si="12">(K16*3%/12+(L16*(12-N16-O16)/12)+M16)/F16</f>
        <v>422637.67828843102</v>
      </c>
      <c r="T16" s="1301">
        <f t="shared" ref="T16:T18" si="13">(K16*3%/12+P16+M16)/F16/1000</f>
        <v>422.637678288431</v>
      </c>
      <c r="U16" s="1314">
        <f t="shared" ref="U16:U18" si="14">S16</f>
        <v>422637.67828843102</v>
      </c>
      <c r="W16" s="1303" t="s">
        <v>2242</v>
      </c>
      <c r="X16" s="2353">
        <f t="shared" si="4"/>
        <v>0.94240076636640346</v>
      </c>
      <c r="Y16" s="2354">
        <f t="shared" si="5"/>
        <v>422637.67828843102</v>
      </c>
    </row>
    <row r="17" spans="1:25" s="1313" customFormat="1" ht="33.75" customHeight="1">
      <c r="A17" s="1279"/>
      <c r="B17" s="2755"/>
      <c r="C17" s="1303" t="s">
        <v>2243</v>
      </c>
      <c r="D17" s="2350" t="s">
        <v>2245</v>
      </c>
      <c r="E17" s="1304">
        <f t="shared" si="9"/>
        <v>350615.76354679803</v>
      </c>
      <c r="F17" s="1307">
        <v>0.40600000000000003</v>
      </c>
      <c r="G17" s="1308">
        <v>0</v>
      </c>
      <c r="H17" s="1309">
        <v>13569</v>
      </c>
      <c r="I17" s="2361">
        <v>396.68</v>
      </c>
      <c r="J17" s="1296">
        <f t="shared" si="10"/>
        <v>2.9234284029773749E-2</v>
      </c>
      <c r="K17" s="1310">
        <v>940000</v>
      </c>
      <c r="L17" s="1310">
        <v>94000</v>
      </c>
      <c r="M17" s="1310">
        <v>46000</v>
      </c>
      <c r="N17" s="1310">
        <v>0</v>
      </c>
      <c r="O17" s="1310">
        <v>0</v>
      </c>
      <c r="P17" s="1298">
        <f t="shared" si="11"/>
        <v>94000</v>
      </c>
      <c r="Q17" s="1299"/>
      <c r="S17" s="1300">
        <f t="shared" si="12"/>
        <v>350615.76354679803</v>
      </c>
      <c r="T17" s="1301">
        <f t="shared" si="13"/>
        <v>350.61576354679801</v>
      </c>
      <c r="U17" s="1314">
        <f t="shared" si="14"/>
        <v>350615.76354679803</v>
      </c>
      <c r="W17" s="1303" t="s">
        <v>2243</v>
      </c>
      <c r="X17" s="2353">
        <f t="shared" si="4"/>
        <v>0.97076571597022621</v>
      </c>
      <c r="Y17" s="2354">
        <f t="shared" si="5"/>
        <v>350615.76354679803</v>
      </c>
    </row>
    <row r="18" spans="1:25" s="1313" customFormat="1" ht="33.75" customHeight="1">
      <c r="A18" s="1279"/>
      <c r="B18" s="2755"/>
      <c r="C18" s="1303" t="s">
        <v>2244</v>
      </c>
      <c r="D18" s="2350">
        <v>1995</v>
      </c>
      <c r="E18" s="1304">
        <f t="shared" si="9"/>
        <v>316877.48887327244</v>
      </c>
      <c r="F18" s="1307">
        <v>0.4269</v>
      </c>
      <c r="G18" s="1308">
        <v>0</v>
      </c>
      <c r="H18" s="1309">
        <v>12209</v>
      </c>
      <c r="I18" s="1295">
        <v>0</v>
      </c>
      <c r="J18" s="1296">
        <f t="shared" si="10"/>
        <v>0</v>
      </c>
      <c r="K18" s="1310">
        <v>910000</v>
      </c>
      <c r="L18" s="1310">
        <v>91000</v>
      </c>
      <c r="M18" s="1310">
        <v>42000</v>
      </c>
      <c r="N18" s="1310">
        <v>0</v>
      </c>
      <c r="O18" s="1310">
        <v>0</v>
      </c>
      <c r="P18" s="1298">
        <f t="shared" si="11"/>
        <v>91000</v>
      </c>
      <c r="Q18" s="1299"/>
      <c r="S18" s="1300">
        <f t="shared" si="12"/>
        <v>316877.48887327244</v>
      </c>
      <c r="T18" s="1301">
        <f t="shared" si="13"/>
        <v>316.87748887327245</v>
      </c>
      <c r="U18" s="1314">
        <f t="shared" si="14"/>
        <v>316877.48887327244</v>
      </c>
      <c r="W18" s="1303" t="s">
        <v>2244</v>
      </c>
      <c r="X18" s="2353">
        <f t="shared" si="4"/>
        <v>1</v>
      </c>
      <c r="Y18" s="2354">
        <f t="shared" si="5"/>
        <v>316877.48887327244</v>
      </c>
    </row>
    <row r="19" spans="1:25" s="1313" customFormat="1" ht="33.75" customHeight="1">
      <c r="A19" s="1279"/>
      <c r="B19" s="2260" t="s">
        <v>699</v>
      </c>
      <c r="C19" s="2260"/>
      <c r="D19" s="2260"/>
      <c r="E19" s="2261">
        <f>AVERAGE(E16:E18)</f>
        <v>363376.97690283385</v>
      </c>
      <c r="F19" s="2357">
        <f t="shared" ref="F19:P19" si="15">AVERAGE(F16:F18)</f>
        <v>0.44590000000000002</v>
      </c>
      <c r="G19" s="2261">
        <f t="shared" si="15"/>
        <v>0</v>
      </c>
      <c r="H19" s="2261">
        <f t="shared" si="15"/>
        <v>30166.333333333332</v>
      </c>
      <c r="I19" s="2261">
        <f t="shared" si="15"/>
        <v>1374.8533333333335</v>
      </c>
      <c r="J19" s="2359">
        <f t="shared" si="15"/>
        <v>2.8944505887790087E-2</v>
      </c>
      <c r="K19" s="2261">
        <f t="shared" si="15"/>
        <v>1143000</v>
      </c>
      <c r="L19" s="2261">
        <f t="shared" si="15"/>
        <v>114300</v>
      </c>
      <c r="M19" s="2261">
        <f t="shared" si="15"/>
        <v>46500</v>
      </c>
      <c r="N19" s="2261">
        <f t="shared" si="15"/>
        <v>0</v>
      </c>
      <c r="O19" s="2261">
        <f t="shared" si="15"/>
        <v>0</v>
      </c>
      <c r="P19" s="2261">
        <f t="shared" si="15"/>
        <v>114300</v>
      </c>
      <c r="Q19" s="1299"/>
      <c r="S19" s="1300"/>
      <c r="T19" s="1301"/>
      <c r="U19" s="1314"/>
      <c r="W19" s="2355"/>
      <c r="X19" s="2353"/>
      <c r="Y19" s="2354"/>
    </row>
    <row r="20" spans="1:25" s="1313" customFormat="1" ht="33.75" customHeight="1">
      <c r="A20" s="1279"/>
      <c r="B20" s="2755" t="s">
        <v>2237</v>
      </c>
      <c r="C20" s="1303" t="s">
        <v>2233</v>
      </c>
      <c r="D20" s="1290">
        <v>2020</v>
      </c>
      <c r="E20" s="1304">
        <f t="shared" ref="E20:E21" si="16">S20</f>
        <v>456652.4042379788</v>
      </c>
      <c r="F20" s="1307">
        <v>0.49080000000000001</v>
      </c>
      <c r="G20" s="1308">
        <v>0</v>
      </c>
      <c r="H20" s="1309">
        <v>37925.25</v>
      </c>
      <c r="I20" s="1295">
        <v>282.85000000000002</v>
      </c>
      <c r="J20" s="1296">
        <f t="shared" ref="J20:J21" si="17">I20/H20</f>
        <v>7.4580919044699781E-3</v>
      </c>
      <c r="K20" s="1310">
        <v>1650000</v>
      </c>
      <c r="L20" s="1310">
        <v>165000</v>
      </c>
      <c r="M20" s="1310">
        <v>55000</v>
      </c>
      <c r="N20" s="1310">
        <v>0</v>
      </c>
      <c r="O20" s="1310">
        <v>0</v>
      </c>
      <c r="P20" s="1298">
        <f t="shared" ref="P20:P21" si="18">L20*(12-O20-N20/5)/12-G20*F20/60</f>
        <v>165000</v>
      </c>
      <c r="Q20" s="1299"/>
      <c r="S20" s="1300">
        <f t="shared" si="6"/>
        <v>456652.4042379788</v>
      </c>
      <c r="T20" s="1301">
        <f t="shared" si="0"/>
        <v>456.65240423797883</v>
      </c>
      <c r="U20" s="1314">
        <f>S20</f>
        <v>456652.4042379788</v>
      </c>
      <c r="W20" s="2355" t="s">
        <v>2232</v>
      </c>
      <c r="X20" s="2353">
        <f t="shared" ref="X20:X21" si="19">100%-J20</f>
        <v>0.99254190809553</v>
      </c>
      <c r="Y20" s="2354">
        <f t="shared" ref="Y20:Y21" si="20">S20</f>
        <v>456652.4042379788</v>
      </c>
    </row>
    <row r="21" spans="1:25" s="1313" customFormat="1" ht="33.75" customHeight="1">
      <c r="A21" s="1279"/>
      <c r="B21" s="2755"/>
      <c r="C21" s="1303" t="s">
        <v>2238</v>
      </c>
      <c r="D21" s="2350" t="s">
        <v>2239</v>
      </c>
      <c r="E21" s="1304">
        <f t="shared" si="16"/>
        <v>385683.20747932396</v>
      </c>
      <c r="F21" s="1307">
        <v>0.55620000000000003</v>
      </c>
      <c r="G21" s="1308">
        <v>0</v>
      </c>
      <c r="H21" s="1309">
        <v>40173.82</v>
      </c>
      <c r="I21" s="1309">
        <v>10099.370000000001</v>
      </c>
      <c r="J21" s="1296">
        <f t="shared" si="17"/>
        <v>0.25139182681656863</v>
      </c>
      <c r="K21" s="1310">
        <v>1552800</v>
      </c>
      <c r="L21" s="1310">
        <v>155280</v>
      </c>
      <c r="M21" s="1310">
        <v>55355</v>
      </c>
      <c r="N21" s="1310">
        <v>0</v>
      </c>
      <c r="O21" s="1310">
        <v>0</v>
      </c>
      <c r="P21" s="1298">
        <f t="shared" si="18"/>
        <v>155280</v>
      </c>
      <c r="Q21" s="1299"/>
      <c r="S21" s="1300">
        <f t="shared" si="6"/>
        <v>385683.20747932396</v>
      </c>
      <c r="T21" s="1301">
        <f t="shared" si="0"/>
        <v>385.68320747932398</v>
      </c>
      <c r="U21" s="1314">
        <f>S21</f>
        <v>385683.20747932396</v>
      </c>
      <c r="W21" s="1303" t="s">
        <v>2238</v>
      </c>
      <c r="X21" s="2353">
        <f t="shared" si="19"/>
        <v>0.74860817318343131</v>
      </c>
      <c r="Y21" s="2354">
        <f t="shared" si="20"/>
        <v>385683.20747932396</v>
      </c>
    </row>
    <row r="22" spans="1:25" s="1313" customFormat="1" ht="33.75" customHeight="1">
      <c r="A22" s="1279"/>
      <c r="B22" s="2755"/>
      <c r="C22" s="1303" t="s">
        <v>2234</v>
      </c>
      <c r="D22" s="2350" t="s">
        <v>2235</v>
      </c>
      <c r="E22" s="1304">
        <f t="shared" ref="E22" si="21">S22</f>
        <v>303808.49220103986</v>
      </c>
      <c r="F22" s="1307">
        <v>0.57699999999999996</v>
      </c>
      <c r="G22" s="1308">
        <v>0</v>
      </c>
      <c r="H22" s="1309">
        <v>26524.01</v>
      </c>
      <c r="I22" s="1295">
        <v>6731.41</v>
      </c>
      <c r="J22" s="1296">
        <f t="shared" ref="J22" si="22">I22/H22</f>
        <v>0.25378553242892005</v>
      </c>
      <c r="K22" s="1310">
        <v>1239000</v>
      </c>
      <c r="L22" s="1310">
        <v>123900</v>
      </c>
      <c r="M22" s="1310">
        <v>48300</v>
      </c>
      <c r="N22" s="1310">
        <v>0</v>
      </c>
      <c r="O22" s="1310">
        <v>0</v>
      </c>
      <c r="P22" s="1298">
        <f t="shared" ref="P22" si="23">L22*(12-O22-N22/5)/12-G22*F22/60</f>
        <v>123900</v>
      </c>
      <c r="Q22" s="1299"/>
      <c r="S22" s="1300">
        <f t="shared" ref="S22" si="24">(K22*3%/12+(L22*(12-N22-O22)/12)+M22)/F22</f>
        <v>303808.49220103986</v>
      </c>
      <c r="T22" s="1301">
        <f t="shared" ref="T22" si="25">(K22*3%/12+P22+M22)/F22/1000</f>
        <v>303.80849220103988</v>
      </c>
      <c r="U22" s="1314">
        <f>S22</f>
        <v>303808.49220103986</v>
      </c>
      <c r="W22" s="2355" t="s">
        <v>2234</v>
      </c>
      <c r="X22" s="2353">
        <f t="shared" ref="X22" si="26">100%-J22</f>
        <v>0.74621446757108001</v>
      </c>
      <c r="Y22" s="2354">
        <f t="shared" ref="Y22" si="27">S22</f>
        <v>303808.49220103986</v>
      </c>
    </row>
    <row r="23" spans="1:25" ht="30" customHeight="1">
      <c r="B23" s="2260" t="s">
        <v>699</v>
      </c>
      <c r="C23" s="2260"/>
      <c r="D23" s="2260"/>
      <c r="E23" s="2261">
        <f>AVERAGE(E20:E22)</f>
        <v>382048.03463944752</v>
      </c>
      <c r="F23" s="2357">
        <f t="shared" ref="F23:P23" si="28">AVERAGE(F20:F22)</f>
        <v>0.54133333333333333</v>
      </c>
      <c r="G23" s="2261">
        <f t="shared" si="28"/>
        <v>0</v>
      </c>
      <c r="H23" s="2261">
        <f t="shared" si="28"/>
        <v>34874.36</v>
      </c>
      <c r="I23" s="2261">
        <f t="shared" si="28"/>
        <v>5704.543333333334</v>
      </c>
      <c r="J23" s="2359">
        <f t="shared" si="28"/>
        <v>0.1708784837166529</v>
      </c>
      <c r="K23" s="2261">
        <f t="shared" si="28"/>
        <v>1480600</v>
      </c>
      <c r="L23" s="2261">
        <f t="shared" si="28"/>
        <v>148060</v>
      </c>
      <c r="M23" s="2261">
        <f t="shared" si="28"/>
        <v>52885</v>
      </c>
      <c r="N23" s="2261">
        <f t="shared" si="28"/>
        <v>0</v>
      </c>
      <c r="O23" s="2261">
        <f t="shared" si="28"/>
        <v>0</v>
      </c>
      <c r="P23" s="2261">
        <f t="shared" si="28"/>
        <v>148060</v>
      </c>
      <c r="Q23" s="1315"/>
    </row>
    <row r="24" spans="1:25" ht="16.5" customHeight="1">
      <c r="B24" s="2358" t="s">
        <v>1676</v>
      </c>
      <c r="D24" s="1316"/>
      <c r="E24" s="1316"/>
      <c r="F24" s="1316"/>
      <c r="G24" s="1316"/>
      <c r="H24" s="1316"/>
      <c r="I24" s="1316"/>
      <c r="J24" s="1316"/>
      <c r="K24" s="1316"/>
      <c r="L24" s="1316"/>
      <c r="M24" s="1316"/>
      <c r="N24" s="1316"/>
      <c r="O24" s="1316"/>
      <c r="P24" s="1316"/>
      <c r="Q24" s="1317"/>
      <c r="Y24" s="1022"/>
    </row>
    <row r="25" spans="1:25">
      <c r="C25" s="1318"/>
      <c r="D25" s="1318"/>
      <c r="E25" s="1318"/>
      <c r="F25" s="1319"/>
      <c r="G25" s="1318"/>
      <c r="H25" s="1318"/>
      <c r="I25" s="1318"/>
      <c r="J25" s="1318"/>
      <c r="K25" s="1318"/>
      <c r="L25" s="1318"/>
      <c r="M25" s="1318"/>
      <c r="N25" s="1318"/>
      <c r="O25" s="1318"/>
      <c r="P25" s="1318"/>
      <c r="Q25" s="1320"/>
      <c r="S25" s="1321"/>
      <c r="Y25" s="1022"/>
    </row>
    <row r="26" spans="1:25">
      <c r="C26" s="980"/>
      <c r="D26" s="1011"/>
      <c r="E26" s="1011"/>
      <c r="F26" s="1011"/>
      <c r="G26" s="1011"/>
      <c r="H26" s="1011"/>
      <c r="I26" s="1011"/>
      <c r="J26" s="1011"/>
      <c r="K26" s="1011"/>
      <c r="L26" s="1011"/>
      <c r="M26" s="1011"/>
      <c r="N26" s="1011"/>
      <c r="O26" s="1011"/>
      <c r="P26" s="1011"/>
      <c r="Q26" s="1280"/>
      <c r="S26" s="1322">
        <v>0.88280000000000003</v>
      </c>
      <c r="T26" s="1323">
        <f>S26*H9</f>
        <v>61417.2788</v>
      </c>
      <c r="U26" s="1323">
        <f>H9-T26</f>
        <v>8153.7212</v>
      </c>
    </row>
    <row r="27" spans="1:25">
      <c r="C27" s="1324"/>
      <c r="D27" s="1325"/>
      <c r="E27" s="1326"/>
      <c r="F27" s="1325"/>
      <c r="G27" s="1325"/>
      <c r="H27" s="1325"/>
      <c r="I27" s="1325"/>
      <c r="J27" s="1325"/>
      <c r="K27" s="1325"/>
      <c r="L27" s="1325"/>
      <c r="M27" s="1325"/>
      <c r="N27" s="1325"/>
      <c r="O27" s="1325"/>
      <c r="P27" s="1325"/>
      <c r="Q27" s="1327"/>
      <c r="S27" s="1321"/>
    </row>
    <row r="28" spans="1:25">
      <c r="C28" s="1328"/>
      <c r="D28" s="1328"/>
      <c r="E28" s="1329"/>
      <c r="F28" s="1328"/>
      <c r="G28" s="1328"/>
      <c r="H28" s="1328"/>
      <c r="I28" s="1328"/>
      <c r="J28" s="1328"/>
      <c r="K28" s="1328"/>
      <c r="L28" s="1328"/>
      <c r="M28" s="1328"/>
      <c r="N28" s="1328"/>
      <c r="O28" s="1328"/>
      <c r="P28" s="1328"/>
      <c r="Q28" s="1330"/>
    </row>
    <row r="29" spans="1:25">
      <c r="C29" s="1325"/>
      <c r="D29" s="1325"/>
      <c r="E29" s="1326"/>
      <c r="F29" s="1325"/>
      <c r="G29" s="1325"/>
      <c r="H29" s="1325"/>
      <c r="I29" s="1325"/>
      <c r="J29" s="1325"/>
      <c r="K29" s="1325"/>
      <c r="L29" s="1325"/>
      <c r="M29" s="1325"/>
      <c r="N29" s="1325"/>
      <c r="O29" s="1325"/>
      <c r="P29" s="1325"/>
      <c r="Q29" s="1327"/>
      <c r="S29" s="1321"/>
    </row>
    <row r="30" spans="1:25">
      <c r="C30" s="1011"/>
      <c r="D30" s="1331"/>
      <c r="E30" s="1329"/>
      <c r="F30" s="1331"/>
      <c r="G30" s="1331"/>
      <c r="H30" s="1332"/>
      <c r="I30" s="1332"/>
      <c r="J30" s="1332"/>
      <c r="K30" s="1333"/>
      <c r="L30" s="1333"/>
      <c r="M30" s="1333"/>
      <c r="N30" s="1333"/>
      <c r="O30" s="1333"/>
      <c r="P30" s="1333"/>
      <c r="Q30" s="1334"/>
      <c r="S30" s="1006">
        <v>133.88</v>
      </c>
    </row>
    <row r="31" spans="1:25">
      <c r="C31" s="1335"/>
      <c r="D31" s="1331"/>
      <c r="E31" s="1329"/>
      <c r="F31" s="1331"/>
      <c r="G31" s="1331"/>
      <c r="H31" s="1332"/>
      <c r="I31" s="1332"/>
      <c r="J31" s="1332"/>
      <c r="K31" s="1333"/>
      <c r="L31" s="1333"/>
      <c r="M31" s="1333"/>
      <c r="N31" s="1333"/>
      <c r="O31" s="1333"/>
      <c r="P31" s="1333"/>
      <c r="Q31" s="1334"/>
      <c r="S31" s="1336">
        <v>4040750</v>
      </c>
    </row>
    <row r="32" spans="1:25">
      <c r="C32" s="1335"/>
      <c r="D32" s="1331"/>
      <c r="E32" s="1329"/>
      <c r="F32" s="1331"/>
      <c r="G32" s="1331"/>
      <c r="H32" s="1332"/>
      <c r="I32" s="1332"/>
      <c r="J32" s="1332"/>
      <c r="K32" s="1333"/>
      <c r="L32" s="1333"/>
      <c r="M32" s="1333"/>
      <c r="N32" s="1333"/>
      <c r="O32" s="1333"/>
      <c r="P32" s="1333"/>
      <c r="Q32" s="1334"/>
      <c r="S32" s="1336">
        <f>S31/S30</f>
        <v>30181.879294890947</v>
      </c>
    </row>
    <row r="33" spans="3:27">
      <c r="C33" s="1335"/>
      <c r="D33" s="1331"/>
      <c r="E33" s="1329"/>
      <c r="F33" s="1331"/>
      <c r="G33" s="1331"/>
      <c r="H33" s="1332"/>
      <c r="I33" s="1332"/>
      <c r="J33" s="1332"/>
      <c r="K33" s="1333"/>
      <c r="L33" s="1333"/>
      <c r="M33" s="1333"/>
      <c r="N33" s="1333"/>
      <c r="O33" s="1333"/>
      <c r="P33" s="1333"/>
      <c r="Q33" s="1334"/>
      <c r="S33" s="1336"/>
    </row>
    <row r="34" spans="3:27">
      <c r="C34" s="1335"/>
      <c r="D34" s="1331"/>
      <c r="E34" s="1329"/>
      <c r="F34" s="1331"/>
      <c r="G34" s="1331"/>
      <c r="H34" s="1332"/>
      <c r="I34" s="1332"/>
      <c r="J34" s="1332"/>
      <c r="K34" s="1333"/>
      <c r="L34" s="1333"/>
      <c r="M34" s="1333"/>
      <c r="N34" s="1333"/>
      <c r="O34" s="1333"/>
      <c r="P34" s="1333"/>
      <c r="Q34" s="1334"/>
      <c r="S34" s="1336">
        <v>24.22</v>
      </c>
    </row>
    <row r="35" spans="3:27">
      <c r="C35" s="1337"/>
      <c r="D35" s="1338"/>
      <c r="E35" s="1339"/>
      <c r="F35" s="1338"/>
      <c r="G35" s="1338"/>
      <c r="H35" s="1338"/>
      <c r="I35" s="1338"/>
      <c r="J35" s="1338"/>
      <c r="K35" s="1338"/>
      <c r="L35" s="1338"/>
      <c r="M35" s="1338"/>
      <c r="N35" s="1338"/>
      <c r="O35" s="1338"/>
      <c r="P35" s="1338"/>
      <c r="Q35" s="1340"/>
      <c r="S35" s="1006">
        <v>731130</v>
      </c>
    </row>
    <row r="36" spans="3:27">
      <c r="C36" s="1011"/>
      <c r="D36" s="1011"/>
      <c r="E36" s="1341"/>
      <c r="F36" s="1011"/>
      <c r="G36" s="1011"/>
      <c r="H36" s="1011"/>
      <c r="I36" s="1011"/>
      <c r="J36" s="1011"/>
      <c r="K36" s="1011"/>
      <c r="L36" s="1011"/>
      <c r="M36" s="1011"/>
      <c r="N36" s="1011"/>
      <c r="O36" s="1011"/>
      <c r="P36" s="1011"/>
      <c r="Q36" s="1280"/>
      <c r="S36" s="1323">
        <f>S35/S34</f>
        <v>30187.035507844757</v>
      </c>
    </row>
    <row r="37" spans="3:27">
      <c r="C37" s="1011"/>
      <c r="D37" s="1011"/>
      <c r="E37" s="1341"/>
      <c r="F37" s="1011"/>
      <c r="G37" s="1011"/>
      <c r="H37" s="1011"/>
      <c r="I37" s="1011"/>
      <c r="J37" s="1011"/>
      <c r="K37" s="1011"/>
      <c r="L37" s="1011"/>
      <c r="M37" s="1011"/>
      <c r="N37" s="1011"/>
      <c r="O37" s="1011"/>
      <c r="P37" s="1011"/>
      <c r="Q37" s="1280"/>
    </row>
    <row r="38" spans="3:27">
      <c r="C38" s="1011"/>
      <c r="D38" s="1011"/>
      <c r="E38" s="1341"/>
      <c r="F38" s="1011"/>
      <c r="G38" s="1011"/>
      <c r="H38" s="1011"/>
      <c r="I38" s="1011"/>
      <c r="J38" s="1011"/>
      <c r="K38" s="1011"/>
      <c r="L38" s="1011"/>
      <c r="M38" s="1011"/>
      <c r="N38" s="1011"/>
      <c r="O38" s="1011"/>
      <c r="P38" s="1011"/>
      <c r="Q38" s="1280"/>
    </row>
    <row r="39" spans="3:27">
      <c r="C39" s="1011"/>
      <c r="D39" s="1011"/>
      <c r="E39" s="1341"/>
      <c r="F39" s="1011"/>
      <c r="G39" s="1011"/>
      <c r="H39" s="1011"/>
      <c r="I39" s="1011"/>
      <c r="J39" s="1011"/>
      <c r="K39" s="1011"/>
      <c r="L39" s="1011"/>
      <c r="M39" s="1011"/>
      <c r="N39" s="1011"/>
      <c r="O39" s="1011"/>
      <c r="P39" s="1011"/>
      <c r="Q39" s="1280"/>
      <c r="W39" s="1322"/>
    </row>
    <row r="40" spans="3:27">
      <c r="C40" s="1011"/>
      <c r="D40" s="1342"/>
      <c r="E40" s="1341"/>
      <c r="F40" s="1011"/>
      <c r="G40" s="1011"/>
      <c r="H40" s="1011"/>
      <c r="I40" s="1011"/>
      <c r="J40" s="1011"/>
      <c r="K40" s="1011"/>
      <c r="L40" s="1011"/>
      <c r="M40" s="1011"/>
      <c r="N40" s="1011"/>
      <c r="O40" s="1011"/>
      <c r="P40" s="1011"/>
      <c r="Q40" s="1280"/>
      <c r="W40" s="1322"/>
    </row>
    <row r="41" spans="3:27" ht="17.100000000000001" customHeight="1"/>
    <row r="42" spans="3:27" ht="17.100000000000001" customHeight="1"/>
    <row r="43" spans="3:27" ht="30.95" customHeight="1">
      <c r="R43"/>
    </row>
    <row r="44" spans="3:27" ht="24.75" customHeight="1">
      <c r="T44" s="1022"/>
      <c r="U44" s="1022"/>
      <c r="V44" s="1022"/>
      <c r="W44" s="1022"/>
      <c r="X44" s="1022"/>
      <c r="Y44" s="1022"/>
      <c r="Z44" s="1022"/>
      <c r="AA44" s="1022"/>
    </row>
    <row r="45" spans="3:27" ht="24.75" customHeight="1">
      <c r="T45" s="1022"/>
      <c r="U45" s="1022"/>
      <c r="V45" s="1022"/>
      <c r="W45" s="1022"/>
      <c r="X45" s="1022"/>
      <c r="Y45" s="1022"/>
      <c r="Z45" s="1022"/>
      <c r="AA45" s="1022"/>
    </row>
    <row r="46" spans="3:27" ht="24.75" customHeight="1">
      <c r="T46" s="1022"/>
      <c r="U46" s="1022"/>
      <c r="V46" s="1022"/>
      <c r="W46" s="1022"/>
      <c r="X46" s="1022"/>
      <c r="Y46" s="1022"/>
      <c r="Z46" s="1022"/>
      <c r="AA46" s="1022"/>
    </row>
    <row r="47" spans="3:27" ht="24.75" customHeight="1">
      <c r="S47" s="1323"/>
      <c r="T47" s="1343"/>
      <c r="U47" s="1022"/>
      <c r="V47" s="1022"/>
      <c r="W47" s="1022"/>
      <c r="X47" s="1022"/>
      <c r="Y47" s="1022"/>
      <c r="Z47" s="1022"/>
      <c r="AA47" s="1022"/>
    </row>
    <row r="48" spans="3:27" ht="24.75" customHeight="1">
      <c r="R48" s="1022"/>
      <c r="S48" s="1323"/>
      <c r="T48" s="1343"/>
      <c r="U48" s="1022"/>
      <c r="V48" s="1022"/>
      <c r="W48" s="1322"/>
      <c r="X48" s="1022"/>
      <c r="Y48" s="1022"/>
      <c r="Z48" s="1022"/>
      <c r="AA48" s="1022"/>
    </row>
    <row r="49" spans="3:27" ht="24.75" customHeight="1">
      <c r="S49" s="1323"/>
      <c r="T49" s="1344"/>
      <c r="U49" s="1022"/>
      <c r="V49" s="1022"/>
      <c r="W49" s="1022"/>
      <c r="X49" s="1022"/>
      <c r="Y49" s="1022"/>
      <c r="Z49" s="1022"/>
      <c r="AA49" s="1022"/>
    </row>
    <row r="50" spans="3:27">
      <c r="T50" s="1022"/>
      <c r="U50" s="1022"/>
      <c r="V50" s="1022"/>
      <c r="W50" s="1022"/>
      <c r="X50" s="1022"/>
      <c r="Y50" s="1022"/>
      <c r="Z50" s="1022"/>
      <c r="AA50" s="1022"/>
    </row>
    <row r="51" spans="3:27">
      <c r="C51" s="1011"/>
      <c r="D51" s="1011"/>
      <c r="E51" s="1011"/>
      <c r="F51" s="1011"/>
      <c r="G51" s="1011"/>
      <c r="H51" s="1342"/>
      <c r="I51" s="1341"/>
      <c r="J51" s="1011"/>
      <c r="K51" s="1011"/>
      <c r="L51" s="1011"/>
      <c r="M51" s="1011"/>
      <c r="N51" s="1011"/>
      <c r="O51" s="1011"/>
      <c r="P51" s="1011"/>
      <c r="Q51" s="1280"/>
      <c r="T51" s="1022"/>
      <c r="U51" s="1022"/>
      <c r="V51" s="1022"/>
      <c r="W51" s="1022"/>
      <c r="X51" s="1022"/>
      <c r="Y51" s="1022"/>
      <c r="Z51" s="1022"/>
      <c r="AA51" s="1022"/>
    </row>
    <row r="52" spans="3:27">
      <c r="C52" s="1342"/>
      <c r="E52" s="1342"/>
      <c r="F52" s="1342"/>
      <c r="G52" s="1342"/>
      <c r="H52" s="1345"/>
      <c r="I52" s="1342"/>
      <c r="J52" s="1346"/>
    </row>
    <row r="53" spans="3:27">
      <c r="C53" s="1011"/>
      <c r="D53" s="1011"/>
      <c r="E53" s="1011"/>
      <c r="F53" s="1011"/>
      <c r="G53" s="1011"/>
      <c r="H53" s="1342"/>
      <c r="I53" s="1341"/>
      <c r="J53" s="1011"/>
      <c r="K53" s="1011"/>
      <c r="L53" s="1011"/>
      <c r="M53" s="1011"/>
      <c r="N53" s="1011"/>
      <c r="O53" s="1011"/>
      <c r="P53" s="1011"/>
      <c r="Q53" s="1280"/>
    </row>
    <row r="54" spans="3:27">
      <c r="C54" s="1342"/>
      <c r="E54" s="1342"/>
      <c r="F54" s="1342"/>
      <c r="G54" s="1342"/>
      <c r="H54" s="1345"/>
      <c r="I54" s="1342"/>
      <c r="J54" s="1346"/>
    </row>
    <row r="55" spans="3:27">
      <c r="C55" s="1011"/>
      <c r="D55" s="1011"/>
      <c r="E55" s="1011"/>
      <c r="F55" s="1011"/>
      <c r="G55" s="1347"/>
      <c r="H55" s="1342"/>
      <c r="I55" s="1341"/>
      <c r="J55" s="1011"/>
      <c r="K55" s="1011"/>
      <c r="L55" s="1011"/>
      <c r="M55" s="1011"/>
      <c r="N55" s="1011"/>
      <c r="O55" s="1011"/>
      <c r="P55" s="1011"/>
      <c r="Q55" s="1280"/>
    </row>
  </sheetData>
  <mergeCells count="17">
    <mergeCell ref="P6:P7"/>
    <mergeCell ref="M6:M7"/>
    <mergeCell ref="N6:N7"/>
    <mergeCell ref="J6:J7"/>
    <mergeCell ref="K6:K7"/>
    <mergeCell ref="L6:L7"/>
    <mergeCell ref="B6:B7"/>
    <mergeCell ref="B8:B14"/>
    <mergeCell ref="B20:B22"/>
    <mergeCell ref="B16:B18"/>
    <mergeCell ref="O6:O7"/>
    <mergeCell ref="H6:H7"/>
    <mergeCell ref="C6:C7"/>
    <mergeCell ref="D6:D7"/>
    <mergeCell ref="E6:E7"/>
    <mergeCell ref="F6:F7"/>
    <mergeCell ref="G6:G7"/>
  </mergeCells>
  <phoneticPr fontId="6" type="noConversion"/>
  <pageMargins left="0.7" right="0.7" top="0.75" bottom="0.75" header="0.3" footer="0.3"/>
  <pageSetup paperSize="9" scale="58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BU76"/>
  <sheetViews>
    <sheetView showGridLines="0" view="pageBreakPreview" zoomScale="85" zoomScaleNormal="55" zoomScaleSheetLayoutView="85" workbookViewId="0">
      <selection activeCell="G28" sqref="G28"/>
    </sheetView>
  </sheetViews>
  <sheetFormatPr defaultColWidth="8.75" defaultRowHeight="16.5"/>
  <cols>
    <col min="1" max="1" width="3.5" style="1" customWidth="1"/>
    <col min="2" max="2" width="4" style="51" customWidth="1"/>
    <col min="3" max="3" width="29.25" style="51" customWidth="1"/>
    <col min="4" max="4" width="34.125" style="52" customWidth="1"/>
    <col min="5" max="5" width="34.125" style="1" customWidth="1"/>
    <col min="6" max="6" width="34.125" style="11" customWidth="1"/>
    <col min="7" max="11" width="34.125" style="1" customWidth="1"/>
    <col min="12" max="12" width="34.125" style="11" customWidth="1"/>
    <col min="13" max="13" width="34.125" style="1" customWidth="1"/>
    <col min="14" max="59" width="34.125" style="11" customWidth="1"/>
    <col min="60" max="61" width="34.125" style="1" customWidth="1"/>
    <col min="62" max="62" width="19" style="86" bestFit="1" customWidth="1"/>
    <col min="63" max="65" width="19" style="86" customWidth="1"/>
    <col min="66" max="66" width="16.375" style="62" bestFit="1" customWidth="1"/>
    <col min="67" max="71" width="16.5" style="1" bestFit="1" customWidth="1"/>
    <col min="72" max="73" width="34.125" style="1" customWidth="1"/>
    <col min="74" max="16384" width="8.75" style="1"/>
  </cols>
  <sheetData>
    <row r="1" spans="2:73" ht="12" customHeight="1"/>
    <row r="2" spans="2:73" ht="22.15" customHeight="1">
      <c r="B2" s="2765" t="s">
        <v>1075</v>
      </c>
      <c r="C2" s="2765"/>
      <c r="D2" s="2765"/>
      <c r="E2" s="2765"/>
      <c r="F2" s="87"/>
      <c r="G2" s="954"/>
      <c r="H2" s="954"/>
      <c r="I2" s="954"/>
      <c r="J2" s="954"/>
      <c r="K2" s="954"/>
      <c r="L2" s="87"/>
      <c r="M2" s="954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7"/>
      <c r="AE2" s="87"/>
      <c r="AF2" s="87"/>
      <c r="AG2" s="87"/>
      <c r="AH2" s="87"/>
      <c r="AI2" s="87"/>
      <c r="AJ2" s="87"/>
      <c r="AK2" s="87"/>
      <c r="AL2" s="87"/>
      <c r="AM2" s="87"/>
      <c r="AN2" s="87"/>
      <c r="AO2" s="87"/>
      <c r="AP2" s="87"/>
      <c r="AQ2" s="87"/>
      <c r="AR2" s="87"/>
      <c r="AS2" s="87"/>
      <c r="AT2" s="87"/>
      <c r="AU2" s="87"/>
      <c r="AV2" s="87"/>
      <c r="AW2" s="87"/>
      <c r="AX2" s="87"/>
      <c r="AY2" s="87"/>
      <c r="AZ2" s="87"/>
      <c r="BA2" s="87"/>
      <c r="BB2" s="87"/>
      <c r="BC2" s="87"/>
      <c r="BD2" s="87"/>
      <c r="BE2" s="87"/>
      <c r="BF2" s="87"/>
      <c r="BG2" s="87"/>
      <c r="BH2" s="954"/>
      <c r="BI2" s="954"/>
    </row>
    <row r="3" spans="2:73" ht="15.95" customHeight="1">
      <c r="B3" s="2766" t="s">
        <v>2129</v>
      </c>
      <c r="C3" s="2766"/>
      <c r="D3" s="2766"/>
      <c r="E3" s="2766"/>
      <c r="F3" s="88"/>
      <c r="G3" s="955"/>
      <c r="H3" s="955"/>
      <c r="I3" s="955"/>
      <c r="J3" s="955"/>
      <c r="K3" s="955"/>
      <c r="L3" s="88"/>
      <c r="M3" s="955"/>
      <c r="N3" s="88"/>
      <c r="O3" s="88"/>
      <c r="P3" s="88"/>
      <c r="Q3" s="88"/>
      <c r="R3" s="88"/>
      <c r="S3" s="88"/>
      <c r="T3" s="88"/>
      <c r="U3" s="88"/>
      <c r="V3" s="88"/>
      <c r="W3" s="88"/>
      <c r="X3" s="88"/>
      <c r="Y3" s="88"/>
      <c r="Z3" s="88"/>
      <c r="AA3" s="88"/>
      <c r="AB3" s="88"/>
      <c r="AC3" s="88"/>
      <c r="AD3" s="88"/>
      <c r="AE3" s="88"/>
      <c r="AF3" s="88"/>
      <c r="AG3" s="88"/>
      <c r="AH3" s="88"/>
      <c r="AI3" s="88"/>
      <c r="AJ3" s="88"/>
      <c r="AK3" s="88"/>
      <c r="AL3" s="88"/>
      <c r="AM3" s="88"/>
      <c r="AN3" s="88"/>
      <c r="AO3" s="88"/>
      <c r="AP3" s="88"/>
      <c r="AQ3" s="88"/>
      <c r="AR3" s="88"/>
      <c r="AS3" s="88"/>
      <c r="AT3" s="88"/>
      <c r="AU3" s="88"/>
      <c r="AV3" s="88"/>
      <c r="AW3" s="88"/>
      <c r="AX3" s="88"/>
      <c r="AY3" s="88"/>
      <c r="AZ3" s="88"/>
      <c r="BA3" s="88"/>
      <c r="BB3" s="88"/>
      <c r="BC3" s="88"/>
      <c r="BD3" s="88"/>
      <c r="BE3" s="88"/>
      <c r="BF3" s="88"/>
      <c r="BG3" s="88"/>
      <c r="BH3" s="955"/>
      <c r="BI3" s="955"/>
    </row>
    <row r="4" spans="2:73" ht="15.95" customHeight="1">
      <c r="B4" s="2766" t="s">
        <v>1685</v>
      </c>
      <c r="C4" s="2766"/>
      <c r="D4" s="2766"/>
      <c r="E4" s="2766"/>
      <c r="F4" s="88"/>
      <c r="G4" s="955"/>
      <c r="H4" s="955"/>
      <c r="I4" s="955"/>
      <c r="J4" s="955"/>
      <c r="K4" s="955"/>
      <c r="L4" s="88"/>
      <c r="M4" s="955"/>
      <c r="N4" s="88"/>
      <c r="O4" s="88"/>
      <c r="P4" s="88"/>
      <c r="Q4" s="88"/>
      <c r="R4" s="88"/>
      <c r="S4" s="88"/>
      <c r="T4" s="88"/>
      <c r="U4" s="88"/>
      <c r="V4" s="88"/>
      <c r="W4" s="88"/>
      <c r="X4" s="88"/>
      <c r="Y4" s="88"/>
      <c r="Z4" s="88"/>
      <c r="AA4" s="88"/>
      <c r="AB4" s="88"/>
      <c r="AC4" s="88"/>
      <c r="AD4" s="88"/>
      <c r="AE4" s="88"/>
      <c r="AF4" s="88"/>
      <c r="AG4" s="88"/>
      <c r="AH4" s="88"/>
      <c r="AI4" s="88"/>
      <c r="AJ4" s="88"/>
      <c r="AK4" s="88"/>
      <c r="AL4" s="88"/>
      <c r="AM4" s="88"/>
      <c r="AN4" s="88"/>
      <c r="AO4" s="88"/>
      <c r="AP4" s="88"/>
      <c r="AQ4" s="88"/>
      <c r="AR4" s="88"/>
      <c r="AS4" s="88"/>
      <c r="AT4" s="88"/>
      <c r="AU4" s="88"/>
      <c r="AV4" s="88"/>
      <c r="AW4" s="88"/>
      <c r="AX4" s="88"/>
      <c r="AY4" s="88"/>
      <c r="AZ4" s="88"/>
      <c r="BA4" s="88"/>
      <c r="BB4" s="88"/>
      <c r="BC4" s="88"/>
      <c r="BD4" s="88"/>
      <c r="BE4" s="88"/>
      <c r="BF4" s="88"/>
      <c r="BG4" s="88"/>
      <c r="BH4" s="955"/>
      <c r="BI4" s="955"/>
    </row>
    <row r="5" spans="2:73" ht="15.95" customHeight="1">
      <c r="B5" s="51" t="s">
        <v>702</v>
      </c>
    </row>
    <row r="6" spans="2:73" ht="15.95" customHeight="1">
      <c r="B6" s="1865"/>
      <c r="C6" s="1866" t="s">
        <v>703</v>
      </c>
      <c r="D6" s="1867" t="s">
        <v>1686</v>
      </c>
      <c r="E6" s="1868" t="s">
        <v>469</v>
      </c>
      <c r="F6" s="89"/>
      <c r="G6" s="89"/>
      <c r="H6" s="89"/>
      <c r="I6" s="1868" t="s">
        <v>469</v>
      </c>
      <c r="J6" s="1868" t="s">
        <v>469</v>
      </c>
      <c r="K6" s="1868" t="s">
        <v>469</v>
      </c>
      <c r="L6" s="1868" t="s">
        <v>469</v>
      </c>
      <c r="M6" s="1868" t="s">
        <v>469</v>
      </c>
      <c r="N6" s="1868" t="s">
        <v>469</v>
      </c>
      <c r="O6" s="1868" t="s">
        <v>469</v>
      </c>
      <c r="P6" s="1868" t="s">
        <v>469</v>
      </c>
      <c r="Q6" s="1868" t="s">
        <v>469</v>
      </c>
      <c r="R6" s="1868" t="s">
        <v>469</v>
      </c>
      <c r="S6" s="1868" t="s">
        <v>469</v>
      </c>
      <c r="T6" s="1868" t="s">
        <v>469</v>
      </c>
      <c r="U6" s="1868" t="s">
        <v>469</v>
      </c>
      <c r="V6" s="1868" t="s">
        <v>469</v>
      </c>
      <c r="W6" s="1868" t="s">
        <v>469</v>
      </c>
      <c r="X6" s="1868" t="s">
        <v>469</v>
      </c>
      <c r="Y6" s="1868" t="s">
        <v>469</v>
      </c>
      <c r="Z6" s="1868" t="s">
        <v>469</v>
      </c>
      <c r="AA6" s="1868" t="s">
        <v>469</v>
      </c>
      <c r="AB6" s="1868" t="s">
        <v>469</v>
      </c>
      <c r="AC6" s="1868" t="s">
        <v>469</v>
      </c>
      <c r="AD6" s="1868" t="s">
        <v>469</v>
      </c>
      <c r="AE6" s="1868" t="s">
        <v>469</v>
      </c>
      <c r="AF6" s="1868" t="s">
        <v>469</v>
      </c>
      <c r="AG6" s="1868" t="s">
        <v>469</v>
      </c>
      <c r="AH6" s="1868" t="s">
        <v>469</v>
      </c>
      <c r="AI6" s="1868" t="s">
        <v>469</v>
      </c>
      <c r="AJ6" s="1868" t="s">
        <v>469</v>
      </c>
      <c r="AK6" s="1868" t="s">
        <v>469</v>
      </c>
      <c r="AL6" s="1868" t="s">
        <v>469</v>
      </c>
      <c r="AM6" s="1868" t="s">
        <v>469</v>
      </c>
      <c r="AN6" s="1868" t="s">
        <v>469</v>
      </c>
      <c r="AO6" s="1868" t="s">
        <v>469</v>
      </c>
      <c r="AP6" s="1868" t="s">
        <v>469</v>
      </c>
      <c r="AQ6" s="1868" t="s">
        <v>469</v>
      </c>
      <c r="AR6" s="1868" t="s">
        <v>469</v>
      </c>
      <c r="AS6" s="1868" t="s">
        <v>469</v>
      </c>
      <c r="AT6" s="1868" t="s">
        <v>469</v>
      </c>
      <c r="AU6" s="1868" t="s">
        <v>469</v>
      </c>
      <c r="AV6" s="1868" t="s">
        <v>469</v>
      </c>
      <c r="AW6" s="1868" t="s">
        <v>469</v>
      </c>
      <c r="AX6" s="1868" t="s">
        <v>469</v>
      </c>
      <c r="AY6" s="1868" t="s">
        <v>469</v>
      </c>
      <c r="AZ6" s="1868" t="s">
        <v>469</v>
      </c>
      <c r="BA6" s="1868" t="s">
        <v>469</v>
      </c>
      <c r="BB6" s="1868" t="s">
        <v>469</v>
      </c>
      <c r="BC6" s="1868" t="s">
        <v>469</v>
      </c>
      <c r="BD6" s="1868" t="s">
        <v>469</v>
      </c>
      <c r="BE6" s="1868" t="s">
        <v>469</v>
      </c>
      <c r="BF6" s="1868" t="s">
        <v>469</v>
      </c>
      <c r="BG6" s="1868" t="s">
        <v>469</v>
      </c>
      <c r="BH6" s="1868" t="s">
        <v>469</v>
      </c>
      <c r="BI6" s="1868" t="s">
        <v>469</v>
      </c>
      <c r="BJ6" s="1868" t="s">
        <v>469</v>
      </c>
      <c r="BK6" s="1868" t="s">
        <v>469</v>
      </c>
      <c r="BL6" s="1868" t="s">
        <v>469</v>
      </c>
      <c r="BM6" s="1868" t="s">
        <v>469</v>
      </c>
      <c r="BN6" s="1868" t="s">
        <v>469</v>
      </c>
      <c r="BO6" s="1868" t="s">
        <v>469</v>
      </c>
      <c r="BP6" s="1868" t="s">
        <v>469</v>
      </c>
      <c r="BQ6" s="1868"/>
      <c r="BR6" s="1868"/>
      <c r="BS6" s="1868"/>
      <c r="BT6" s="1868"/>
      <c r="BU6" s="1868"/>
    </row>
    <row r="7" spans="2:73" ht="15.95" customHeight="1">
      <c r="B7" s="1865"/>
      <c r="C7" s="1869"/>
      <c r="D7" s="1868">
        <v>45504</v>
      </c>
      <c r="E7" s="1868">
        <v>45382</v>
      </c>
      <c r="F7" s="89"/>
      <c r="G7" s="89"/>
      <c r="H7" s="89"/>
      <c r="I7" s="1868">
        <v>45473</v>
      </c>
      <c r="J7" s="1868">
        <v>45443</v>
      </c>
      <c r="K7" s="1868">
        <v>45412</v>
      </c>
      <c r="L7" s="1868">
        <v>45382</v>
      </c>
      <c r="M7" s="1868">
        <v>45351</v>
      </c>
      <c r="N7" s="1868">
        <v>45322</v>
      </c>
      <c r="O7" s="1868">
        <v>45291</v>
      </c>
      <c r="P7" s="1868">
        <v>45260</v>
      </c>
      <c r="Q7" s="1868">
        <v>45230</v>
      </c>
      <c r="R7" s="1868">
        <v>45199</v>
      </c>
      <c r="S7" s="1868">
        <v>45169</v>
      </c>
      <c r="T7" s="1868">
        <v>45138</v>
      </c>
      <c r="U7" s="1868">
        <v>45107</v>
      </c>
      <c r="V7" s="1868">
        <v>45077</v>
      </c>
      <c r="W7" s="1868">
        <v>45046</v>
      </c>
      <c r="X7" s="1868">
        <v>45016</v>
      </c>
      <c r="Y7" s="1868">
        <v>44985</v>
      </c>
      <c r="Z7" s="1868">
        <v>44926</v>
      </c>
      <c r="AA7" s="1868">
        <v>44926</v>
      </c>
      <c r="AB7" s="1868">
        <v>44895</v>
      </c>
      <c r="AC7" s="1868">
        <v>44865</v>
      </c>
      <c r="AD7" s="1868">
        <v>44834</v>
      </c>
      <c r="AE7" s="1868">
        <v>44804</v>
      </c>
      <c r="AF7" s="1868">
        <v>44773</v>
      </c>
      <c r="AG7" s="1868">
        <v>44742</v>
      </c>
      <c r="AH7" s="1868">
        <v>44712</v>
      </c>
      <c r="AI7" s="1868">
        <v>44681</v>
      </c>
      <c r="AJ7" s="1868">
        <v>44651</v>
      </c>
      <c r="AK7" s="1868">
        <v>44620</v>
      </c>
      <c r="AL7" s="1868">
        <v>44592</v>
      </c>
      <c r="AM7" s="1868">
        <v>44561</v>
      </c>
      <c r="AN7" s="1868">
        <v>44530</v>
      </c>
      <c r="AO7" s="1868">
        <v>44500</v>
      </c>
      <c r="AP7" s="1868">
        <v>44469</v>
      </c>
      <c r="AQ7" s="1868">
        <v>44439</v>
      </c>
      <c r="AR7" s="1868">
        <v>44408</v>
      </c>
      <c r="AS7" s="1868">
        <v>44377</v>
      </c>
      <c r="AT7" s="1868">
        <v>44347</v>
      </c>
      <c r="AU7" s="1868">
        <v>44316</v>
      </c>
      <c r="AV7" s="1868">
        <v>44286</v>
      </c>
      <c r="AW7" s="1868">
        <v>44255</v>
      </c>
      <c r="AX7" s="1868">
        <v>44227</v>
      </c>
      <c r="AY7" s="1868">
        <v>44196</v>
      </c>
      <c r="AZ7" s="1868">
        <v>44165</v>
      </c>
      <c r="BA7" s="1868">
        <v>44135</v>
      </c>
      <c r="BB7" s="1868">
        <v>44104</v>
      </c>
      <c r="BC7" s="1868">
        <v>44074</v>
      </c>
      <c r="BD7" s="1868">
        <v>44043</v>
      </c>
      <c r="BE7" s="1868">
        <v>44012</v>
      </c>
      <c r="BF7" s="1868">
        <v>43982</v>
      </c>
      <c r="BG7" s="1868">
        <v>43951</v>
      </c>
      <c r="BH7" s="1868">
        <v>43921</v>
      </c>
      <c r="BI7" s="1868">
        <v>43890</v>
      </c>
      <c r="BJ7" s="1868">
        <v>43861</v>
      </c>
      <c r="BK7" s="1868">
        <v>43830</v>
      </c>
      <c r="BL7" s="1868">
        <v>43799</v>
      </c>
      <c r="BM7" s="1868">
        <v>43769</v>
      </c>
      <c r="BN7" s="1868">
        <v>43738</v>
      </c>
      <c r="BO7" s="1868">
        <v>43708</v>
      </c>
      <c r="BP7" s="1868">
        <v>43677</v>
      </c>
      <c r="BQ7" s="1868">
        <v>43646</v>
      </c>
      <c r="BR7" s="1868">
        <v>43616</v>
      </c>
      <c r="BS7" s="1868">
        <v>43585</v>
      </c>
      <c r="BT7" s="1868">
        <v>43555</v>
      </c>
      <c r="BU7" s="1868">
        <v>43373</v>
      </c>
    </row>
    <row r="8" spans="2:73" ht="15.95" customHeight="1">
      <c r="B8" s="2763" t="s">
        <v>704</v>
      </c>
      <c r="C8" s="2764"/>
      <c r="D8" s="1870"/>
      <c r="E8" s="1871"/>
      <c r="F8" s="90"/>
      <c r="G8" s="90"/>
      <c r="H8" s="90"/>
      <c r="I8" s="1871"/>
      <c r="J8" s="1871"/>
      <c r="K8" s="1871"/>
      <c r="L8" s="1871"/>
      <c r="M8" s="1871"/>
      <c r="N8" s="1871"/>
      <c r="O8" s="1871"/>
      <c r="P8" s="1871"/>
      <c r="Q8" s="1871"/>
      <c r="R8" s="1871"/>
      <c r="S8" s="1871"/>
      <c r="T8" s="1871"/>
      <c r="U8" s="1871"/>
      <c r="V8" s="1871"/>
      <c r="W8" s="1871"/>
      <c r="X8" s="1871"/>
      <c r="Y8" s="1871"/>
      <c r="Z8" s="1871"/>
      <c r="AA8" s="1871"/>
      <c r="AB8" s="1871"/>
      <c r="AC8" s="1871"/>
      <c r="AD8" s="1871"/>
      <c r="AE8" s="1871"/>
      <c r="AF8" s="1871"/>
      <c r="AG8" s="1871"/>
      <c r="AH8" s="1871"/>
      <c r="AI8" s="1871"/>
      <c r="AJ8" s="1871"/>
      <c r="AK8" s="1871"/>
      <c r="AL8" s="1871"/>
      <c r="AM8" s="1871"/>
      <c r="AN8" s="1871"/>
      <c r="AO8" s="1871"/>
      <c r="AP8" s="1871"/>
      <c r="AQ8" s="1871"/>
      <c r="AR8" s="1871"/>
      <c r="AS8" s="1871"/>
      <c r="AT8" s="1871"/>
      <c r="AU8" s="1871"/>
      <c r="AV8" s="1871"/>
      <c r="AW8" s="1871"/>
      <c r="AX8" s="1871"/>
      <c r="AY8" s="1871"/>
      <c r="AZ8" s="1871"/>
      <c r="BA8" s="1871"/>
      <c r="BB8" s="1871"/>
      <c r="BC8" s="1871"/>
      <c r="BD8" s="1871"/>
      <c r="BE8" s="1871"/>
      <c r="BF8" s="1871"/>
      <c r="BG8" s="1871"/>
      <c r="BH8" s="1871"/>
      <c r="BI8" s="1871"/>
      <c r="BJ8" s="1871"/>
      <c r="BK8" s="1871"/>
      <c r="BL8" s="1871"/>
      <c r="BM8" s="1871"/>
      <c r="BN8" s="1871"/>
      <c r="BO8" s="1871"/>
      <c r="BP8" s="1871"/>
      <c r="BQ8" s="1871"/>
      <c r="BR8" s="1871"/>
      <c r="BS8" s="1871"/>
      <c r="BT8" s="1871"/>
      <c r="BU8" s="1871"/>
    </row>
    <row r="9" spans="2:73" ht="15.95" customHeight="1">
      <c r="B9" s="2761" t="s">
        <v>705</v>
      </c>
      <c r="C9" s="2762"/>
      <c r="D9" s="421">
        <f>SUM(D10)</f>
        <v>7523220723.3870964</v>
      </c>
      <c r="E9" s="422">
        <v>9052212226.3870964</v>
      </c>
      <c r="F9" s="90"/>
      <c r="G9" s="90"/>
      <c r="H9" s="90"/>
      <c r="I9" s="422">
        <v>6290460240.3870964</v>
      </c>
      <c r="J9" s="422">
        <v>12158033230.387096</v>
      </c>
      <c r="K9" s="422">
        <v>10471958368.387096</v>
      </c>
      <c r="L9" s="422">
        <v>9052212226.3870964</v>
      </c>
      <c r="M9" s="422">
        <v>7188889483.3870964</v>
      </c>
      <c r="N9" s="422">
        <v>5606537554.3870964</v>
      </c>
      <c r="O9" s="422">
        <v>4113383486.3870964</v>
      </c>
      <c r="P9" s="422">
        <v>9144230325.3870964</v>
      </c>
      <c r="Q9" s="422">
        <v>7373131989.3870964</v>
      </c>
      <c r="R9" s="422">
        <v>6495395098.3870964</v>
      </c>
      <c r="S9" s="422">
        <v>6678913167.3870964</v>
      </c>
      <c r="T9" s="422">
        <v>5067371419.3870964</v>
      </c>
      <c r="U9" s="422">
        <v>3773866058.3870964</v>
      </c>
      <c r="V9" s="422">
        <v>10071270017.587097</v>
      </c>
      <c r="W9" s="422">
        <v>8436821636.5870962</v>
      </c>
      <c r="X9" s="422">
        <v>7514342094.3870964</v>
      </c>
      <c r="Y9" s="422">
        <v>8258481078.3870964</v>
      </c>
      <c r="Z9" s="422">
        <v>6549039666.3870964</v>
      </c>
      <c r="AA9" s="422">
        <v>5093959887.3870964</v>
      </c>
      <c r="AB9" s="422">
        <v>10031667160</v>
      </c>
      <c r="AC9" s="422">
        <v>8258798168</v>
      </c>
      <c r="AD9" s="422">
        <v>7522038687</v>
      </c>
      <c r="AE9" s="422">
        <v>7320476076</v>
      </c>
      <c r="AF9" s="422">
        <v>6166644453</v>
      </c>
      <c r="AG9" s="422">
        <v>5361190338</v>
      </c>
      <c r="AH9" s="422">
        <v>10883953189</v>
      </c>
      <c r="AI9" s="422">
        <v>19248040573</v>
      </c>
      <c r="AJ9" s="422">
        <v>20310541569.926598</v>
      </c>
      <c r="AK9" s="422">
        <v>21740055427.355167</v>
      </c>
      <c r="AL9" s="422">
        <v>20077090439.355167</v>
      </c>
      <c r="AM9" s="422">
        <v>18363448668.355167</v>
      </c>
      <c r="AN9" s="422">
        <v>19733510288.355167</v>
      </c>
      <c r="AO9" s="422">
        <v>18452598532.355167</v>
      </c>
      <c r="AP9" s="422">
        <v>16854717439</v>
      </c>
      <c r="AQ9" s="422">
        <v>18035970913</v>
      </c>
      <c r="AR9" s="422">
        <v>18599105860</v>
      </c>
      <c r="AS9" s="422">
        <v>17517833866</v>
      </c>
      <c r="AT9" s="422">
        <v>20449419707</v>
      </c>
      <c r="AU9" s="422">
        <v>20998153517</v>
      </c>
      <c r="AV9" s="422">
        <v>19881321203</v>
      </c>
      <c r="AW9" s="422">
        <v>18506891810.516129</v>
      </c>
      <c r="AX9" s="422">
        <v>18984252876.516129</v>
      </c>
      <c r="AY9" s="422">
        <v>16800379428</v>
      </c>
      <c r="AZ9" s="422">
        <v>18406132947</v>
      </c>
      <c r="BA9" s="422">
        <v>18592380809</v>
      </c>
      <c r="BB9" s="422">
        <v>18066781758</v>
      </c>
      <c r="BC9" s="422">
        <v>16994369216</v>
      </c>
      <c r="BD9" s="422">
        <v>17410319391</v>
      </c>
      <c r="BE9" s="422">
        <v>16530742224.666668</v>
      </c>
      <c r="BF9" s="422">
        <v>19174855917</v>
      </c>
      <c r="BG9" s="422">
        <v>19612569966</v>
      </c>
      <c r="BH9" s="422">
        <v>18828514374</v>
      </c>
      <c r="BI9" s="422">
        <v>17271609055</v>
      </c>
      <c r="BJ9" s="422">
        <v>17537432731</v>
      </c>
      <c r="BK9" s="422">
        <v>16721437808</v>
      </c>
      <c r="BL9" s="422">
        <v>18899934011</v>
      </c>
      <c r="BM9" s="422">
        <v>19573995367</v>
      </c>
      <c r="BN9" s="422">
        <v>18867440950.333332</v>
      </c>
      <c r="BO9" s="422">
        <v>17386832570.333332</v>
      </c>
      <c r="BP9" s="422">
        <v>17364046662.333332</v>
      </c>
      <c r="BQ9" s="422">
        <v>16242413675.333332</v>
      </c>
      <c r="BR9" s="422">
        <v>17110990529.333332</v>
      </c>
      <c r="BS9" s="422">
        <v>17588293668</v>
      </c>
      <c r="BT9" s="422">
        <v>16888979110</v>
      </c>
      <c r="BU9" s="422">
        <v>16908462231</v>
      </c>
    </row>
    <row r="10" spans="2:73" ht="15.95" customHeight="1">
      <c r="B10" s="2759" t="s">
        <v>706</v>
      </c>
      <c r="C10" s="2760"/>
      <c r="D10" s="423">
        <f>SUM(D11:D19)</f>
        <v>7523220723.3870964</v>
      </c>
      <c r="E10" s="424">
        <v>9052212226.3870964</v>
      </c>
      <c r="F10" s="91"/>
      <c r="G10" s="91"/>
      <c r="H10" s="91"/>
      <c r="I10" s="424">
        <v>6290460240.3870964</v>
      </c>
      <c r="J10" s="424">
        <v>12158033230.387096</v>
      </c>
      <c r="K10" s="424">
        <v>10471958368.387096</v>
      </c>
      <c r="L10" s="424">
        <v>9052212226.3870964</v>
      </c>
      <c r="M10" s="424">
        <v>7188889483.3870964</v>
      </c>
      <c r="N10" s="424">
        <v>5606537554.3870964</v>
      </c>
      <c r="O10" s="424">
        <v>4113383486.3870964</v>
      </c>
      <c r="P10" s="424">
        <v>9144230325.3870964</v>
      </c>
      <c r="Q10" s="424">
        <v>7373131989.3870964</v>
      </c>
      <c r="R10" s="424">
        <v>6495395098.3870964</v>
      </c>
      <c r="S10" s="424">
        <v>6678913167.3870964</v>
      </c>
      <c r="T10" s="424">
        <v>5067371419.3870964</v>
      </c>
      <c r="U10" s="424">
        <v>3773866058.3870964</v>
      </c>
      <c r="V10" s="424">
        <v>10071270017.587097</v>
      </c>
      <c r="W10" s="424">
        <v>8436821636.5870962</v>
      </c>
      <c r="X10" s="424">
        <v>7514342094.3870964</v>
      </c>
      <c r="Y10" s="424">
        <v>8258481078.3870964</v>
      </c>
      <c r="Z10" s="424">
        <v>6549039666.3870964</v>
      </c>
      <c r="AA10" s="424">
        <v>5093959887.3870964</v>
      </c>
      <c r="AB10" s="424">
        <v>10031667160</v>
      </c>
      <c r="AC10" s="424">
        <v>8258798168</v>
      </c>
      <c r="AD10" s="424">
        <v>7522038687</v>
      </c>
      <c r="AE10" s="424">
        <v>7320476076</v>
      </c>
      <c r="AF10" s="424">
        <v>6166644453</v>
      </c>
      <c r="AG10" s="424">
        <v>5361190338</v>
      </c>
      <c r="AH10" s="424">
        <v>10883953189</v>
      </c>
      <c r="AI10" s="424">
        <v>19248040573</v>
      </c>
      <c r="AJ10" s="424">
        <v>20310541569.926598</v>
      </c>
      <c r="AK10" s="424">
        <v>21740055427.355167</v>
      </c>
      <c r="AL10" s="424">
        <v>20077090439.355167</v>
      </c>
      <c r="AM10" s="424">
        <v>18363448668.355167</v>
      </c>
      <c r="AN10" s="424">
        <v>19733510288.355167</v>
      </c>
      <c r="AO10" s="424">
        <v>18452598532.355167</v>
      </c>
      <c r="AP10" s="424">
        <v>16854717439</v>
      </c>
      <c r="AQ10" s="424">
        <v>18035970913</v>
      </c>
      <c r="AR10" s="424">
        <v>18599105860</v>
      </c>
      <c r="AS10" s="424">
        <v>17517833866</v>
      </c>
      <c r="AT10" s="424">
        <v>20449419707</v>
      </c>
      <c r="AU10" s="424">
        <v>20998153517</v>
      </c>
      <c r="AV10" s="424">
        <v>19881321203</v>
      </c>
      <c r="AW10" s="424">
        <v>18506891810.516129</v>
      </c>
      <c r="AX10" s="424">
        <v>18984252876.516129</v>
      </c>
      <c r="AY10" s="424">
        <v>16800379428</v>
      </c>
      <c r="AZ10" s="424">
        <v>18406132947</v>
      </c>
      <c r="BA10" s="424">
        <v>18592380809</v>
      </c>
      <c r="BB10" s="424">
        <v>18066781758</v>
      </c>
      <c r="BC10" s="424">
        <v>16994369216</v>
      </c>
      <c r="BD10" s="424">
        <v>17410319391</v>
      </c>
      <c r="BE10" s="424">
        <v>16530742224.666668</v>
      </c>
      <c r="BF10" s="424">
        <v>19174855917</v>
      </c>
      <c r="BG10" s="424">
        <v>19612569966</v>
      </c>
      <c r="BH10" s="424">
        <v>18828514374</v>
      </c>
      <c r="BI10" s="424">
        <v>17271609055</v>
      </c>
      <c r="BJ10" s="424">
        <v>17537432731</v>
      </c>
      <c r="BK10" s="424">
        <v>16721437808</v>
      </c>
      <c r="BL10" s="424">
        <v>18899934011</v>
      </c>
      <c r="BM10" s="424">
        <v>19573995367</v>
      </c>
      <c r="BN10" s="424">
        <v>18867440950.333332</v>
      </c>
      <c r="BO10" s="424">
        <v>17386832570.333332</v>
      </c>
      <c r="BP10" s="424">
        <v>17364046662.333332</v>
      </c>
      <c r="BQ10" s="424">
        <v>16242413675.333332</v>
      </c>
      <c r="BR10" s="424">
        <v>17110990529.333332</v>
      </c>
      <c r="BS10" s="424">
        <v>17588293668</v>
      </c>
      <c r="BT10" s="424">
        <v>16888979110</v>
      </c>
      <c r="BU10" s="424">
        <v>16908462231</v>
      </c>
    </row>
    <row r="11" spans="2:73" ht="15.95" customHeight="1">
      <c r="B11" s="1872" t="s">
        <v>707</v>
      </c>
      <c r="C11" s="1873" t="s">
        <v>708</v>
      </c>
      <c r="D11" s="425">
        <v>1639139352</v>
      </c>
      <c r="E11" s="424">
        <v>834959689</v>
      </c>
      <c r="F11" s="91"/>
      <c r="G11" s="91"/>
      <c r="H11" s="91"/>
      <c r="I11" s="424">
        <v>697893634</v>
      </c>
      <c r="J11" s="424">
        <v>3749172919</v>
      </c>
      <c r="K11" s="424">
        <v>2164006831</v>
      </c>
      <c r="L11" s="424">
        <v>834959689</v>
      </c>
      <c r="M11" s="424">
        <v>795057815</v>
      </c>
      <c r="N11" s="424">
        <v>2495816817</v>
      </c>
      <c r="O11" s="424">
        <v>1080605604</v>
      </c>
      <c r="P11" s="424">
        <v>5109024243</v>
      </c>
      <c r="Q11" s="424">
        <v>3412093994</v>
      </c>
      <c r="R11" s="424">
        <v>2583934253</v>
      </c>
      <c r="S11" s="424">
        <v>2851107399</v>
      </c>
      <c r="T11" s="424">
        <v>1306217807</v>
      </c>
      <c r="U11" s="424">
        <v>252035565</v>
      </c>
      <c r="V11" s="424">
        <v>8948087862</v>
      </c>
      <c r="W11" s="424">
        <v>7419852219</v>
      </c>
      <c r="X11" s="424">
        <v>6600292869</v>
      </c>
      <c r="Y11" s="424">
        <v>7301161155</v>
      </c>
      <c r="Z11" s="424">
        <v>5675897817</v>
      </c>
      <c r="AA11" s="424">
        <v>4270178043</v>
      </c>
      <c r="AB11" s="424">
        <v>8574843908</v>
      </c>
      <c r="AC11" s="424">
        <v>6819620106</v>
      </c>
      <c r="AD11" s="424">
        <v>5844117112</v>
      </c>
      <c r="AE11" s="424">
        <v>6490184877</v>
      </c>
      <c r="AF11" s="424">
        <v>4867442093</v>
      </c>
      <c r="AG11" s="424">
        <v>4000124007</v>
      </c>
      <c r="AH11" s="424">
        <v>9203795122</v>
      </c>
      <c r="AI11" s="424">
        <v>7796263409</v>
      </c>
      <c r="AJ11" s="424">
        <v>3475941194</v>
      </c>
      <c r="AK11" s="424">
        <v>4833205736</v>
      </c>
      <c r="AL11" s="424">
        <v>3208128235</v>
      </c>
      <c r="AM11" s="424">
        <v>2570042753</v>
      </c>
      <c r="AN11" s="424">
        <v>3424526737</v>
      </c>
      <c r="AO11" s="424">
        <v>4441950318</v>
      </c>
      <c r="AP11" s="424">
        <v>2854415260</v>
      </c>
      <c r="AQ11" s="424">
        <v>3368991934</v>
      </c>
      <c r="AR11" s="424">
        <v>4195898108</v>
      </c>
      <c r="AS11" s="424">
        <v>3142167737</v>
      </c>
      <c r="AT11" s="424">
        <v>5996812892</v>
      </c>
      <c r="AU11" s="424">
        <v>6357316888</v>
      </c>
      <c r="AV11" s="424">
        <v>5618303006</v>
      </c>
      <c r="AW11" s="424">
        <v>4177154020</v>
      </c>
      <c r="AX11" s="424">
        <v>4641937620</v>
      </c>
      <c r="AY11" s="424">
        <v>3491691590</v>
      </c>
      <c r="AZ11" s="424">
        <v>4970130932</v>
      </c>
      <c r="BA11" s="424">
        <v>5325649262</v>
      </c>
      <c r="BB11" s="424">
        <v>4729988820</v>
      </c>
      <c r="BC11" s="424">
        <v>3171810726</v>
      </c>
      <c r="BD11" s="424">
        <v>3604981209</v>
      </c>
      <c r="BE11" s="424">
        <v>3171322445</v>
      </c>
      <c r="BF11" s="424">
        <v>5674669958</v>
      </c>
      <c r="BG11" s="424">
        <v>6028160139</v>
      </c>
      <c r="BH11" s="424">
        <v>5283285853</v>
      </c>
      <c r="BI11" s="424">
        <v>3647401604</v>
      </c>
      <c r="BJ11" s="424">
        <v>3987047245</v>
      </c>
      <c r="BK11" s="424">
        <v>3096110529</v>
      </c>
      <c r="BL11" s="424">
        <v>5311765398</v>
      </c>
      <c r="BM11" s="424">
        <v>6031548805</v>
      </c>
      <c r="BN11" s="424">
        <v>5336580742</v>
      </c>
      <c r="BO11" s="424">
        <v>3800816878</v>
      </c>
      <c r="BP11" s="424">
        <v>4072802703</v>
      </c>
      <c r="BQ11" s="424">
        <v>3117090432</v>
      </c>
      <c r="BR11" s="424">
        <v>4374117736</v>
      </c>
      <c r="BS11" s="424">
        <v>4758119136</v>
      </c>
      <c r="BT11" s="424">
        <v>4102910222</v>
      </c>
      <c r="BU11" s="424">
        <v>4832813848</v>
      </c>
    </row>
    <row r="12" spans="2:73" ht="15.95" customHeight="1">
      <c r="B12" s="1872" t="s">
        <v>709</v>
      </c>
      <c r="C12" s="1873" t="s">
        <v>710</v>
      </c>
      <c r="D12" s="425">
        <v>4634064810</v>
      </c>
      <c r="E12" s="424">
        <v>7275367810</v>
      </c>
      <c r="F12" s="91"/>
      <c r="G12" s="91"/>
      <c r="H12" s="91"/>
      <c r="I12" s="424">
        <v>4575367810</v>
      </c>
      <c r="J12" s="424">
        <v>7275367810</v>
      </c>
      <c r="K12" s="424">
        <v>7275367810</v>
      </c>
      <c r="L12" s="424">
        <v>7275367810</v>
      </c>
      <c r="M12" s="424">
        <v>5400000000</v>
      </c>
      <c r="N12" s="424">
        <v>2200000000</v>
      </c>
      <c r="O12" s="424">
        <v>2200000000</v>
      </c>
      <c r="P12" s="424">
        <v>3035713720</v>
      </c>
      <c r="Q12" s="424">
        <v>3035713720</v>
      </c>
      <c r="R12" s="424">
        <v>3035713720</v>
      </c>
      <c r="S12" s="424">
        <v>2900000000</v>
      </c>
      <c r="T12" s="424">
        <v>2900000000</v>
      </c>
      <c r="U12" s="424">
        <v>2900000000</v>
      </c>
      <c r="V12" s="424">
        <v>345671000</v>
      </c>
      <c r="W12" s="424">
        <v>345671000</v>
      </c>
      <c r="X12" s="424">
        <v>345671000</v>
      </c>
      <c r="Y12" s="424">
        <v>345671000</v>
      </c>
      <c r="Z12" s="424">
        <v>345671000</v>
      </c>
      <c r="AA12" s="424">
        <v>345671000</v>
      </c>
      <c r="AB12" s="424">
        <v>881384720</v>
      </c>
      <c r="AC12" s="424">
        <v>881384720</v>
      </c>
      <c r="AD12" s="424">
        <v>1146426220</v>
      </c>
      <c r="AE12" s="424">
        <v>265041500</v>
      </c>
      <c r="AF12" s="424">
        <v>769375000</v>
      </c>
      <c r="AG12" s="424">
        <v>1083941700</v>
      </c>
      <c r="AH12" s="424">
        <v>1184877700</v>
      </c>
      <c r="AI12" s="424">
        <v>11096474390</v>
      </c>
      <c r="AJ12" s="424">
        <v>16549379020</v>
      </c>
      <c r="AK12" s="424">
        <v>16524479020</v>
      </c>
      <c r="AL12" s="424">
        <v>16524479020</v>
      </c>
      <c r="AM12" s="424">
        <v>15524479020</v>
      </c>
      <c r="AN12" s="424">
        <v>15524479020</v>
      </c>
      <c r="AO12" s="424">
        <v>13257353520</v>
      </c>
      <c r="AP12" s="424">
        <v>13257353520</v>
      </c>
      <c r="AQ12" s="424">
        <v>14257353520</v>
      </c>
      <c r="AR12" s="424">
        <v>14145962020</v>
      </c>
      <c r="AS12" s="424">
        <v>14164679120</v>
      </c>
      <c r="AT12" s="424">
        <v>14164679120</v>
      </c>
      <c r="AU12" s="424">
        <v>14316063120</v>
      </c>
      <c r="AV12" s="424">
        <v>13995361520</v>
      </c>
      <c r="AW12" s="424">
        <v>13995361520</v>
      </c>
      <c r="AX12" s="424">
        <v>14043658220</v>
      </c>
      <c r="AY12" s="424">
        <v>13043658220</v>
      </c>
      <c r="AZ12" s="424">
        <v>13043658220</v>
      </c>
      <c r="BA12" s="424">
        <v>12910783720</v>
      </c>
      <c r="BB12" s="424">
        <v>12977293620</v>
      </c>
      <c r="BC12" s="424">
        <v>13383972420</v>
      </c>
      <c r="BD12" s="424">
        <v>13383972420</v>
      </c>
      <c r="BE12" s="424">
        <v>13166161720</v>
      </c>
      <c r="BF12" s="424">
        <v>13166161720</v>
      </c>
      <c r="BG12" s="424">
        <v>13166161720</v>
      </c>
      <c r="BH12" s="424">
        <v>13165361720</v>
      </c>
      <c r="BI12" s="424">
        <v>13165361720</v>
      </c>
      <c r="BJ12" s="424">
        <v>13165361720</v>
      </c>
      <c r="BK12" s="424">
        <v>13165361720</v>
      </c>
      <c r="BL12" s="424">
        <v>13165361720</v>
      </c>
      <c r="BM12" s="424">
        <v>13165361720</v>
      </c>
      <c r="BN12" s="424">
        <v>13165361720</v>
      </c>
      <c r="BO12" s="424">
        <v>13165361720</v>
      </c>
      <c r="BP12" s="424">
        <v>12936649720</v>
      </c>
      <c r="BQ12" s="424">
        <v>12936649720</v>
      </c>
      <c r="BR12" s="424">
        <v>12490042720</v>
      </c>
      <c r="BS12" s="424">
        <v>12490042720</v>
      </c>
      <c r="BT12" s="424">
        <v>12469515620</v>
      </c>
      <c r="BU12" s="424">
        <v>11781982620</v>
      </c>
    </row>
    <row r="13" spans="2:73" ht="15.95" customHeight="1">
      <c r="B13" s="1872" t="s">
        <v>191</v>
      </c>
      <c r="C13" s="1874" t="s">
        <v>711</v>
      </c>
      <c r="D13" s="425">
        <v>3993184.387096405</v>
      </c>
      <c r="E13" s="426">
        <v>15815012.387096405</v>
      </c>
      <c r="F13" s="91"/>
      <c r="G13" s="91"/>
      <c r="H13" s="91"/>
      <c r="I13" s="424">
        <v>10178309.387096405</v>
      </c>
      <c r="J13" s="424">
        <v>2250008.387096405</v>
      </c>
      <c r="K13" s="424">
        <v>2642380.387096405</v>
      </c>
      <c r="L13" s="424">
        <v>15815012.387096405</v>
      </c>
      <c r="M13" s="424">
        <v>4937649.387096405</v>
      </c>
      <c r="N13" s="424">
        <v>19266.387096405029</v>
      </c>
      <c r="O13" s="424">
        <v>15202890.387096405</v>
      </c>
      <c r="P13" s="424">
        <v>0.38709640502929688</v>
      </c>
      <c r="Q13" s="424">
        <v>3637268.387096405</v>
      </c>
      <c r="R13" s="424">
        <v>19789757.387096405</v>
      </c>
      <c r="S13" s="424">
        <v>5212810.387096405</v>
      </c>
      <c r="T13" s="424">
        <v>4353582.387096405</v>
      </c>
      <c r="U13" s="424">
        <v>2939784.387096405</v>
      </c>
      <c r="V13" s="424">
        <v>2195047.5870962143</v>
      </c>
      <c r="W13" s="424">
        <v>3127006.5870962143</v>
      </c>
      <c r="X13" s="424">
        <v>25967754.387096405</v>
      </c>
      <c r="Y13" s="424">
        <v>4497439.387096405</v>
      </c>
      <c r="Z13" s="424">
        <v>3831682.387096405</v>
      </c>
      <c r="AA13" s="424">
        <v>26437042.387096405</v>
      </c>
      <c r="AB13" s="424">
        <v>4481044</v>
      </c>
      <c r="AC13" s="424">
        <v>13412340</v>
      </c>
      <c r="AD13" s="424">
        <v>17011931</v>
      </c>
      <c r="AE13" s="424">
        <v>18966968</v>
      </c>
      <c r="AF13" s="424">
        <v>18352409</v>
      </c>
      <c r="AG13" s="424">
        <v>11114881</v>
      </c>
      <c r="AH13" s="424">
        <v>147814839</v>
      </c>
      <c r="AI13" s="424">
        <v>14768736</v>
      </c>
      <c r="AJ13" s="424">
        <v>14267216.926595688</v>
      </c>
      <c r="AK13" s="424">
        <v>3468749.3551673889</v>
      </c>
      <c r="AL13" s="424">
        <v>17135488.355167389</v>
      </c>
      <c r="AM13" s="424">
        <v>2446990.3551673889</v>
      </c>
      <c r="AN13" s="424">
        <v>1468780.3551669121</v>
      </c>
      <c r="AO13" s="424">
        <v>12671077.355166912</v>
      </c>
      <c r="AP13" s="424">
        <v>4302339</v>
      </c>
      <c r="AQ13" s="424">
        <v>4739603</v>
      </c>
      <c r="AR13" s="424">
        <v>5543682</v>
      </c>
      <c r="AS13" s="424">
        <v>1237889</v>
      </c>
      <c r="AT13" s="424">
        <v>551873</v>
      </c>
      <c r="AU13" s="424">
        <v>0</v>
      </c>
      <c r="AV13" s="424">
        <v>1310832</v>
      </c>
      <c r="AW13" s="424">
        <v>3674540.51612854</v>
      </c>
      <c r="AX13" s="424">
        <v>9860518.5161294937</v>
      </c>
      <c r="AY13" s="424">
        <v>580847</v>
      </c>
      <c r="AZ13" s="424">
        <v>432506</v>
      </c>
      <c r="BA13" s="424">
        <v>712313</v>
      </c>
      <c r="BB13" s="424">
        <v>1983640</v>
      </c>
      <c r="BC13" s="424">
        <v>49677</v>
      </c>
      <c r="BD13" s="424">
        <v>110000</v>
      </c>
      <c r="BE13" s="424">
        <v>109999.66666698456</v>
      </c>
      <c r="BF13" s="424">
        <v>65076622</v>
      </c>
      <c r="BG13" s="424">
        <v>50939971</v>
      </c>
      <c r="BH13" s="424">
        <v>56908604</v>
      </c>
      <c r="BI13" s="424">
        <v>38040025</v>
      </c>
      <c r="BJ13" s="424">
        <v>14643483</v>
      </c>
      <c r="BK13" s="424">
        <v>544261</v>
      </c>
      <c r="BL13" s="424">
        <v>6711025</v>
      </c>
      <c r="BM13" s="424">
        <v>12790354</v>
      </c>
      <c r="BN13" s="424">
        <v>17271886.333332062</v>
      </c>
      <c r="BO13" s="424">
        <v>10413203.333332062</v>
      </c>
      <c r="BP13" s="424">
        <v>1457858.3333330154</v>
      </c>
      <c r="BQ13" s="424">
        <v>6864988.3333330154</v>
      </c>
      <c r="BR13" s="424">
        <v>2004208.3333330154</v>
      </c>
      <c r="BS13" s="424">
        <v>110000</v>
      </c>
      <c r="BT13" s="424">
        <v>1874917</v>
      </c>
      <c r="BU13" s="424">
        <v>13037159</v>
      </c>
    </row>
    <row r="14" spans="2:73" ht="15.95" customHeight="1">
      <c r="B14" s="1872" t="s">
        <v>192</v>
      </c>
      <c r="C14" s="1873" t="s">
        <v>712</v>
      </c>
      <c r="D14" s="423">
        <v>0</v>
      </c>
      <c r="E14" s="424">
        <v>0</v>
      </c>
      <c r="F14" s="91"/>
      <c r="G14" s="91"/>
      <c r="H14" s="91"/>
      <c r="I14" s="424">
        <v>0</v>
      </c>
      <c r="J14" s="424">
        <v>0</v>
      </c>
      <c r="K14" s="424">
        <v>0</v>
      </c>
      <c r="L14" s="424">
        <v>0</v>
      </c>
      <c r="M14" s="424">
        <v>0</v>
      </c>
      <c r="N14" s="424">
        <v>0</v>
      </c>
      <c r="O14" s="424">
        <v>0</v>
      </c>
      <c r="P14" s="424">
        <v>0</v>
      </c>
      <c r="Q14" s="424">
        <v>0</v>
      </c>
      <c r="R14" s="424">
        <v>0</v>
      </c>
      <c r="S14" s="424">
        <v>0</v>
      </c>
      <c r="T14" s="424">
        <v>0</v>
      </c>
      <c r="U14" s="424">
        <v>0</v>
      </c>
      <c r="V14" s="424">
        <v>0</v>
      </c>
      <c r="W14" s="424">
        <v>0</v>
      </c>
      <c r="X14" s="424">
        <v>0</v>
      </c>
      <c r="Y14" s="424">
        <v>0</v>
      </c>
      <c r="Z14" s="424">
        <v>0</v>
      </c>
      <c r="AA14" s="424">
        <v>0</v>
      </c>
      <c r="AB14" s="424">
        <v>0</v>
      </c>
      <c r="AC14" s="424">
        <v>0</v>
      </c>
      <c r="AD14" s="424">
        <v>0</v>
      </c>
      <c r="AE14" s="424">
        <v>0</v>
      </c>
      <c r="AF14" s="424">
        <v>0</v>
      </c>
      <c r="AG14" s="424">
        <v>0</v>
      </c>
      <c r="AH14" s="424">
        <v>0</v>
      </c>
      <c r="AI14" s="424">
        <v>0</v>
      </c>
      <c r="AJ14" s="424">
        <v>0</v>
      </c>
      <c r="AK14" s="424">
        <v>0</v>
      </c>
      <c r="AL14" s="424">
        <v>0</v>
      </c>
      <c r="AM14" s="424">
        <v>0</v>
      </c>
      <c r="AN14" s="424">
        <v>0</v>
      </c>
      <c r="AO14" s="424">
        <v>0</v>
      </c>
      <c r="AP14" s="424">
        <v>0</v>
      </c>
      <c r="AQ14" s="424">
        <v>0</v>
      </c>
      <c r="AR14" s="424">
        <v>0</v>
      </c>
      <c r="AS14" s="424">
        <v>0</v>
      </c>
      <c r="AT14" s="424">
        <v>0</v>
      </c>
      <c r="AU14" s="424">
        <v>0</v>
      </c>
      <c r="AV14" s="424">
        <v>0</v>
      </c>
      <c r="AW14" s="424">
        <v>0</v>
      </c>
      <c r="AX14" s="424">
        <v>0</v>
      </c>
      <c r="AY14" s="424">
        <v>0</v>
      </c>
      <c r="AZ14" s="424">
        <v>0</v>
      </c>
      <c r="BA14" s="424">
        <v>0</v>
      </c>
      <c r="BB14" s="424">
        <v>0</v>
      </c>
      <c r="BC14" s="424">
        <v>0</v>
      </c>
      <c r="BD14" s="424">
        <v>0</v>
      </c>
      <c r="BE14" s="424">
        <v>0</v>
      </c>
      <c r="BF14" s="424">
        <v>0</v>
      </c>
      <c r="BG14" s="424">
        <v>0</v>
      </c>
      <c r="BH14" s="424">
        <v>0</v>
      </c>
      <c r="BI14" s="424">
        <v>0</v>
      </c>
      <c r="BJ14" s="424">
        <v>0</v>
      </c>
      <c r="BK14" s="424">
        <v>0</v>
      </c>
      <c r="BL14" s="424">
        <v>0</v>
      </c>
      <c r="BM14" s="424">
        <v>0</v>
      </c>
      <c r="BN14" s="424">
        <v>0</v>
      </c>
      <c r="BO14" s="424">
        <v>0</v>
      </c>
      <c r="BP14" s="424">
        <v>0</v>
      </c>
      <c r="BQ14" s="424">
        <v>0</v>
      </c>
      <c r="BR14" s="424">
        <v>0</v>
      </c>
      <c r="BS14" s="424">
        <v>0</v>
      </c>
      <c r="BT14" s="424">
        <v>0</v>
      </c>
      <c r="BU14" s="424">
        <v>0</v>
      </c>
    </row>
    <row r="15" spans="2:73" ht="15.95" customHeight="1">
      <c r="B15" s="1872" t="s">
        <v>193</v>
      </c>
      <c r="C15" s="1873" t="s">
        <v>713</v>
      </c>
      <c r="D15" s="425">
        <v>872109292</v>
      </c>
      <c r="E15" s="426">
        <v>754716548</v>
      </c>
      <c r="F15" s="91"/>
      <c r="G15" s="91"/>
      <c r="H15" s="91"/>
      <c r="I15" s="424">
        <v>829668338</v>
      </c>
      <c r="J15" s="424">
        <v>855967251</v>
      </c>
      <c r="K15" s="424">
        <v>804446312</v>
      </c>
      <c r="L15" s="424">
        <v>754716548</v>
      </c>
      <c r="M15" s="424">
        <v>704202776</v>
      </c>
      <c r="N15" s="424">
        <v>664696602</v>
      </c>
      <c r="O15" s="424">
        <v>623603128</v>
      </c>
      <c r="P15" s="424">
        <v>656589341</v>
      </c>
      <c r="Q15" s="424">
        <v>607708281</v>
      </c>
      <c r="R15" s="424">
        <v>557290680</v>
      </c>
      <c r="S15" s="424">
        <v>513553190</v>
      </c>
      <c r="T15" s="424">
        <v>470636882</v>
      </c>
      <c r="U15" s="424">
        <v>427750443</v>
      </c>
      <c r="V15" s="424">
        <v>451768844</v>
      </c>
      <c r="W15" s="424">
        <v>402394195</v>
      </c>
      <c r="X15" s="424">
        <v>354969758</v>
      </c>
      <c r="Y15" s="424">
        <v>323167331</v>
      </c>
      <c r="Z15" s="424">
        <v>286786927</v>
      </c>
      <c r="AA15" s="424">
        <v>247861308</v>
      </c>
      <c r="AB15" s="424">
        <v>223910753</v>
      </c>
      <c r="AC15" s="424">
        <v>216763566</v>
      </c>
      <c r="AD15" s="424">
        <v>174502805</v>
      </c>
      <c r="AE15" s="424">
        <v>131887820</v>
      </c>
      <c r="AF15" s="424">
        <v>105024104</v>
      </c>
      <c r="AG15" s="424">
        <v>77758575</v>
      </c>
      <c r="AH15" s="424">
        <v>65605422</v>
      </c>
      <c r="AI15" s="424">
        <v>108735278</v>
      </c>
      <c r="AJ15" s="424">
        <v>95858807</v>
      </c>
      <c r="AK15" s="424">
        <v>88492228</v>
      </c>
      <c r="AL15" s="424">
        <v>78881897</v>
      </c>
      <c r="AM15" s="424">
        <v>65234625</v>
      </c>
      <c r="AN15" s="424">
        <v>65204390</v>
      </c>
      <c r="AO15" s="424">
        <v>55033685</v>
      </c>
      <c r="AP15" s="424">
        <v>48544162</v>
      </c>
      <c r="AQ15" s="424">
        <v>40732304</v>
      </c>
      <c r="AR15" s="424">
        <v>34051394</v>
      </c>
      <c r="AS15" s="424">
        <v>31358954</v>
      </c>
      <c r="AT15" s="424">
        <v>29615286</v>
      </c>
      <c r="AU15" s="424">
        <v>132967393</v>
      </c>
      <c r="AV15" s="424">
        <v>120310886</v>
      </c>
      <c r="AW15" s="424">
        <v>106916792</v>
      </c>
      <c r="AX15" s="424">
        <v>99955546</v>
      </c>
      <c r="AY15" s="424">
        <v>89596004</v>
      </c>
      <c r="AZ15" s="424">
        <v>95239149</v>
      </c>
      <c r="BA15" s="424">
        <v>81856778</v>
      </c>
      <c r="BB15" s="424">
        <v>70609598</v>
      </c>
      <c r="BC15" s="424">
        <v>58887844</v>
      </c>
      <c r="BD15" s="424">
        <v>47965434</v>
      </c>
      <c r="BE15" s="424">
        <v>38431157</v>
      </c>
      <c r="BF15" s="424">
        <v>32070199</v>
      </c>
      <c r="BG15" s="424">
        <v>203143492</v>
      </c>
      <c r="BH15" s="424">
        <v>197003862</v>
      </c>
      <c r="BI15" s="424">
        <v>183403498</v>
      </c>
      <c r="BJ15" s="424">
        <v>165735660</v>
      </c>
      <c r="BK15" s="424">
        <v>148541728</v>
      </c>
      <c r="BL15" s="424">
        <v>150917227</v>
      </c>
      <c r="BM15" s="424">
        <v>130675979</v>
      </c>
      <c r="BN15" s="424">
        <v>112741943</v>
      </c>
      <c r="BO15" s="424">
        <v>92817956</v>
      </c>
      <c r="BP15" s="424">
        <v>72543510</v>
      </c>
      <c r="BQ15" s="424">
        <v>57326114</v>
      </c>
      <c r="BR15" s="424">
        <v>39802971</v>
      </c>
      <c r="BS15" s="424">
        <v>202006259</v>
      </c>
      <c r="BT15" s="424">
        <v>183366046</v>
      </c>
      <c r="BU15" s="424">
        <v>82517647</v>
      </c>
    </row>
    <row r="16" spans="2:73" ht="15.95" customHeight="1">
      <c r="B16" s="1872" t="s">
        <v>194</v>
      </c>
      <c r="C16" s="1873" t="s">
        <v>714</v>
      </c>
      <c r="D16" s="425">
        <v>0</v>
      </c>
      <c r="E16" s="424">
        <v>0</v>
      </c>
      <c r="F16" s="91"/>
      <c r="G16" s="91"/>
      <c r="H16" s="91"/>
      <c r="I16" s="424">
        <v>0</v>
      </c>
      <c r="J16" s="424">
        <v>0</v>
      </c>
      <c r="K16" s="424">
        <v>0</v>
      </c>
      <c r="L16" s="424">
        <v>0</v>
      </c>
      <c r="M16" s="424">
        <v>0</v>
      </c>
      <c r="N16" s="424">
        <v>0</v>
      </c>
      <c r="O16" s="424">
        <v>0</v>
      </c>
      <c r="P16" s="424">
        <v>0</v>
      </c>
      <c r="Q16" s="424">
        <v>0</v>
      </c>
      <c r="R16" s="424">
        <v>0</v>
      </c>
      <c r="S16" s="424">
        <v>0</v>
      </c>
      <c r="T16" s="424">
        <v>0</v>
      </c>
      <c r="U16" s="424">
        <v>0</v>
      </c>
      <c r="V16" s="424">
        <v>0</v>
      </c>
      <c r="W16" s="424">
        <v>0</v>
      </c>
      <c r="X16" s="424">
        <v>0</v>
      </c>
      <c r="Y16" s="424">
        <v>0</v>
      </c>
      <c r="Z16" s="424">
        <v>0</v>
      </c>
      <c r="AA16" s="424">
        <v>0</v>
      </c>
      <c r="AB16" s="424">
        <v>0</v>
      </c>
      <c r="AC16" s="424">
        <v>0</v>
      </c>
      <c r="AD16" s="424">
        <v>0</v>
      </c>
      <c r="AE16" s="424">
        <v>0</v>
      </c>
      <c r="AF16" s="424">
        <v>0</v>
      </c>
      <c r="AG16" s="424">
        <v>0</v>
      </c>
      <c r="AH16" s="424">
        <v>0</v>
      </c>
      <c r="AI16" s="424">
        <v>0</v>
      </c>
      <c r="AJ16" s="424">
        <v>0</v>
      </c>
      <c r="AK16" s="424">
        <v>0</v>
      </c>
      <c r="AL16" s="424">
        <v>0</v>
      </c>
      <c r="AM16" s="424">
        <v>0</v>
      </c>
      <c r="AN16" s="424">
        <v>0</v>
      </c>
      <c r="AO16" s="424">
        <v>0</v>
      </c>
      <c r="AP16" s="424">
        <v>0</v>
      </c>
      <c r="AQ16" s="424">
        <v>0</v>
      </c>
      <c r="AR16" s="424">
        <v>0</v>
      </c>
      <c r="AS16" s="424">
        <v>0</v>
      </c>
      <c r="AT16" s="424">
        <v>0</v>
      </c>
      <c r="AU16" s="424">
        <v>0</v>
      </c>
      <c r="AV16" s="424">
        <v>0</v>
      </c>
      <c r="AW16" s="424">
        <v>0</v>
      </c>
      <c r="AX16" s="424">
        <v>5100040</v>
      </c>
      <c r="AY16" s="424">
        <v>0</v>
      </c>
      <c r="AZ16" s="424">
        <v>0</v>
      </c>
      <c r="BA16" s="424">
        <v>0</v>
      </c>
      <c r="BB16" s="424">
        <v>0</v>
      </c>
      <c r="BC16" s="424">
        <v>0</v>
      </c>
      <c r="BD16" s="424">
        <v>0</v>
      </c>
      <c r="BE16" s="424">
        <v>0</v>
      </c>
      <c r="BF16" s="424">
        <v>0</v>
      </c>
      <c r="BG16" s="424">
        <v>0</v>
      </c>
      <c r="BH16" s="424">
        <v>0</v>
      </c>
      <c r="BI16" s="424">
        <v>0</v>
      </c>
      <c r="BJ16" s="424">
        <v>0</v>
      </c>
      <c r="BK16" s="424">
        <v>0</v>
      </c>
      <c r="BL16" s="424">
        <v>0</v>
      </c>
      <c r="BM16" s="424">
        <v>0</v>
      </c>
      <c r="BN16" s="424">
        <v>0</v>
      </c>
      <c r="BO16" s="424">
        <v>0</v>
      </c>
      <c r="BP16" s="424">
        <v>0</v>
      </c>
      <c r="BQ16" s="424">
        <v>0</v>
      </c>
      <c r="BR16" s="424">
        <v>0</v>
      </c>
      <c r="BS16" s="424">
        <v>0</v>
      </c>
      <c r="BT16" s="424">
        <v>43378310</v>
      </c>
      <c r="BU16" s="424">
        <v>0</v>
      </c>
    </row>
    <row r="17" spans="1:73" ht="15.95" customHeight="1">
      <c r="B17" s="1872" t="s">
        <v>195</v>
      </c>
      <c r="C17" s="1874" t="s">
        <v>715</v>
      </c>
      <c r="D17" s="425">
        <v>320913044</v>
      </c>
      <c r="E17" s="424">
        <v>159647017</v>
      </c>
      <c r="F17" s="91"/>
      <c r="G17" s="91"/>
      <c r="H17" s="91"/>
      <c r="I17" s="424">
        <v>154984169</v>
      </c>
      <c r="J17" s="424">
        <v>161445075</v>
      </c>
      <c r="K17" s="424">
        <v>164447973</v>
      </c>
      <c r="L17" s="424">
        <v>159647017</v>
      </c>
      <c r="M17" s="424">
        <v>169191235</v>
      </c>
      <c r="N17" s="424">
        <v>177793765</v>
      </c>
      <c r="O17" s="424">
        <v>173647614</v>
      </c>
      <c r="P17" s="424">
        <v>222030488</v>
      </c>
      <c r="Q17" s="424">
        <v>241373170</v>
      </c>
      <c r="R17" s="424">
        <v>289943248</v>
      </c>
      <c r="S17" s="424">
        <v>285899841</v>
      </c>
      <c r="T17" s="424">
        <v>318821066</v>
      </c>
      <c r="U17" s="424">
        <v>172470946</v>
      </c>
      <c r="V17" s="424">
        <v>177664377</v>
      </c>
      <c r="W17" s="424">
        <v>176719764</v>
      </c>
      <c r="X17" s="424">
        <v>177494833</v>
      </c>
      <c r="Y17" s="424">
        <v>174940120</v>
      </c>
      <c r="Z17" s="424">
        <v>177057733</v>
      </c>
      <c r="AA17" s="424">
        <v>180882244</v>
      </c>
      <c r="AB17" s="424">
        <v>238204543</v>
      </c>
      <c r="AC17" s="424">
        <v>268277354</v>
      </c>
      <c r="AD17" s="424">
        <v>324543219</v>
      </c>
      <c r="AE17" s="424">
        <v>294652037</v>
      </c>
      <c r="AF17" s="424">
        <v>340781930</v>
      </c>
      <c r="AG17" s="424">
        <v>169249955</v>
      </c>
      <c r="AH17" s="424">
        <v>173448016</v>
      </c>
      <c r="AI17" s="424">
        <v>177849956</v>
      </c>
      <c r="AJ17" s="424">
        <v>168402282</v>
      </c>
      <c r="AK17" s="424">
        <v>172639131</v>
      </c>
      <c r="AL17" s="424">
        <v>176846406</v>
      </c>
      <c r="AM17" s="424">
        <v>178382430</v>
      </c>
      <c r="AN17" s="424">
        <v>223158158</v>
      </c>
      <c r="AO17" s="424">
        <v>234028531</v>
      </c>
      <c r="AP17" s="424">
        <v>278577383</v>
      </c>
      <c r="AQ17" s="424">
        <v>253434873</v>
      </c>
      <c r="AR17" s="424">
        <v>152153708</v>
      </c>
      <c r="AS17" s="424">
        <v>155475186</v>
      </c>
      <c r="AT17" s="424">
        <v>149116115</v>
      </c>
      <c r="AU17" s="424">
        <v>144522274</v>
      </c>
      <c r="AV17" s="424">
        <v>141554099</v>
      </c>
      <c r="AW17" s="424">
        <v>133086305</v>
      </c>
      <c r="AX17" s="424">
        <v>135124849</v>
      </c>
      <c r="AY17" s="424">
        <v>140156187</v>
      </c>
      <c r="AZ17" s="424">
        <v>184685345</v>
      </c>
      <c r="BA17" s="424">
        <v>204081189</v>
      </c>
      <c r="BB17" s="424">
        <v>255559260</v>
      </c>
      <c r="BC17" s="424">
        <v>256241366</v>
      </c>
      <c r="BD17" s="424">
        <v>295928320</v>
      </c>
      <c r="BE17" s="424">
        <v>118822133</v>
      </c>
      <c r="BF17" s="424">
        <v>118419963</v>
      </c>
      <c r="BG17" s="424">
        <v>117788597</v>
      </c>
      <c r="BH17" s="424">
        <v>120130255</v>
      </c>
      <c r="BI17" s="424">
        <v>125530051</v>
      </c>
      <c r="BJ17" s="424">
        <v>130500744</v>
      </c>
      <c r="BK17" s="424">
        <v>135553505</v>
      </c>
      <c r="BL17" s="424">
        <v>157562209</v>
      </c>
      <c r="BM17" s="424">
        <v>165674861</v>
      </c>
      <c r="BN17" s="424">
        <v>206048159</v>
      </c>
      <c r="BO17" s="424">
        <v>190698870</v>
      </c>
      <c r="BP17" s="424">
        <v>204214302</v>
      </c>
      <c r="BQ17" s="424">
        <v>93687861</v>
      </c>
      <c r="BR17" s="424">
        <v>94013510</v>
      </c>
      <c r="BS17" s="424">
        <v>97033561</v>
      </c>
      <c r="BT17" s="424">
        <v>85527595</v>
      </c>
      <c r="BU17" s="424">
        <v>182705917</v>
      </c>
    </row>
    <row r="18" spans="1:73" ht="15.95" customHeight="1">
      <c r="A18" s="11"/>
      <c r="B18" s="1875" t="s">
        <v>196</v>
      </c>
      <c r="C18" s="1874" t="s">
        <v>716</v>
      </c>
      <c r="D18" s="425">
        <v>41275041</v>
      </c>
      <c r="E18" s="426">
        <v>0</v>
      </c>
      <c r="F18" s="91"/>
      <c r="G18" s="91"/>
      <c r="H18" s="91"/>
      <c r="I18" s="424">
        <v>0</v>
      </c>
      <c r="J18" s="424">
        <v>102124017</v>
      </c>
      <c r="K18" s="424">
        <v>49340912</v>
      </c>
      <c r="L18" s="424">
        <v>0</v>
      </c>
      <c r="M18" s="424">
        <v>103899198</v>
      </c>
      <c r="N18" s="424">
        <v>55817274</v>
      </c>
      <c r="O18" s="424">
        <v>0</v>
      </c>
      <c r="P18" s="424">
        <v>112149093</v>
      </c>
      <c r="Q18" s="424">
        <v>63882116</v>
      </c>
      <c r="R18" s="424">
        <v>0</v>
      </c>
      <c r="S18" s="424">
        <v>114416487</v>
      </c>
      <c r="T18" s="424">
        <v>57714502</v>
      </c>
      <c r="U18" s="424">
        <v>0</v>
      </c>
      <c r="V18" s="424">
        <v>135937007</v>
      </c>
      <c r="W18" s="424">
        <v>79111572</v>
      </c>
      <c r="X18" s="424">
        <v>0</v>
      </c>
      <c r="Y18" s="424">
        <v>100147953</v>
      </c>
      <c r="Z18" s="424">
        <v>50898427</v>
      </c>
      <c r="AA18" s="424">
        <v>0</v>
      </c>
      <c r="AB18" s="424">
        <v>87239742</v>
      </c>
      <c r="AC18" s="424">
        <v>43327192</v>
      </c>
      <c r="AD18" s="424">
        <v>0</v>
      </c>
      <c r="AE18" s="424">
        <v>104305474</v>
      </c>
      <c r="AF18" s="424">
        <v>50592857</v>
      </c>
      <c r="AG18" s="424">
        <v>0</v>
      </c>
      <c r="AH18" s="424">
        <v>92188140</v>
      </c>
      <c r="AI18" s="424">
        <v>46701944</v>
      </c>
      <c r="AJ18" s="424">
        <v>0</v>
      </c>
      <c r="AK18" s="424">
        <v>94129103</v>
      </c>
      <c r="AL18" s="424">
        <v>48642943</v>
      </c>
      <c r="AM18" s="424">
        <v>0</v>
      </c>
      <c r="AN18" s="424">
        <v>473757673</v>
      </c>
      <c r="AO18" s="424">
        <v>430916531</v>
      </c>
      <c r="AP18" s="424">
        <v>391336095</v>
      </c>
      <c r="AQ18" s="424">
        <v>90607219</v>
      </c>
      <c r="AR18" s="424">
        <v>45529888</v>
      </c>
      <c r="AS18" s="424">
        <v>0</v>
      </c>
      <c r="AT18" s="424">
        <v>86462171</v>
      </c>
      <c r="AU18" s="424">
        <v>42684102</v>
      </c>
      <c r="AV18" s="424">
        <v>0</v>
      </c>
      <c r="AW18" s="424">
        <v>83426013</v>
      </c>
      <c r="AX18" s="424">
        <v>41952373</v>
      </c>
      <c r="AY18" s="424">
        <v>0</v>
      </c>
      <c r="AZ18" s="424">
        <v>80254045</v>
      </c>
      <c r="BA18" s="424">
        <v>37564797</v>
      </c>
      <c r="BB18" s="424">
        <v>0</v>
      </c>
      <c r="BC18" s="424">
        <v>91679003</v>
      </c>
      <c r="BD18" s="424">
        <v>46092948</v>
      </c>
      <c r="BE18" s="424">
        <v>0</v>
      </c>
      <c r="BF18" s="424">
        <v>83217725</v>
      </c>
      <c r="BG18" s="424">
        <v>40414567</v>
      </c>
      <c r="BH18" s="424">
        <v>0</v>
      </c>
      <c r="BI18" s="424">
        <v>80354937</v>
      </c>
      <c r="BJ18" s="424">
        <v>40183389</v>
      </c>
      <c r="BK18" s="424">
        <v>141879845</v>
      </c>
      <c r="BL18" s="424">
        <v>77714152</v>
      </c>
      <c r="BM18" s="424">
        <v>38041368</v>
      </c>
      <c r="BN18" s="424">
        <v>0</v>
      </c>
      <c r="BO18" s="424">
        <v>97310633</v>
      </c>
      <c r="BP18" s="424">
        <v>46769979</v>
      </c>
      <c r="BQ18" s="424">
        <v>0</v>
      </c>
      <c r="BR18" s="424">
        <v>80515124</v>
      </c>
      <c r="BS18" s="424">
        <v>38741132</v>
      </c>
      <c r="BT18" s="424">
        <v>0</v>
      </c>
      <c r="BU18" s="424">
        <v>0</v>
      </c>
    </row>
    <row r="19" spans="1:73" ht="15.95" customHeight="1">
      <c r="B19" s="1872" t="s">
        <v>197</v>
      </c>
      <c r="C19" s="1874" t="s">
        <v>717</v>
      </c>
      <c r="D19" s="425">
        <v>11726000</v>
      </c>
      <c r="E19" s="426">
        <v>11706150</v>
      </c>
      <c r="F19" s="91"/>
      <c r="G19" s="91"/>
      <c r="H19" s="91"/>
      <c r="I19" s="424">
        <v>22367980</v>
      </c>
      <c r="J19" s="424">
        <v>11706150</v>
      </c>
      <c r="K19" s="424">
        <v>11706150</v>
      </c>
      <c r="L19" s="424">
        <v>11706150</v>
      </c>
      <c r="M19" s="424">
        <v>11600810</v>
      </c>
      <c r="N19" s="424">
        <v>12393830</v>
      </c>
      <c r="O19" s="424">
        <v>20324250</v>
      </c>
      <c r="P19" s="424">
        <v>8723440</v>
      </c>
      <c r="Q19" s="424">
        <v>8723440</v>
      </c>
      <c r="R19" s="424">
        <v>8723440</v>
      </c>
      <c r="S19" s="424">
        <v>8723440</v>
      </c>
      <c r="T19" s="424">
        <v>9627580</v>
      </c>
      <c r="U19" s="424">
        <v>18669320</v>
      </c>
      <c r="V19" s="424">
        <v>9945880</v>
      </c>
      <c r="W19" s="424">
        <v>9945880</v>
      </c>
      <c r="X19" s="424">
        <v>9945880</v>
      </c>
      <c r="Y19" s="424">
        <v>8896080</v>
      </c>
      <c r="Z19" s="424">
        <v>8896080</v>
      </c>
      <c r="AA19" s="424">
        <v>22930250</v>
      </c>
      <c r="AB19" s="424">
        <v>21602450</v>
      </c>
      <c r="AC19" s="424">
        <v>16012890</v>
      </c>
      <c r="AD19" s="424">
        <v>15437400</v>
      </c>
      <c r="AE19" s="424">
        <v>15437400</v>
      </c>
      <c r="AF19" s="424">
        <v>15076060</v>
      </c>
      <c r="AG19" s="424">
        <v>19001220</v>
      </c>
      <c r="AH19" s="424">
        <v>16223950</v>
      </c>
      <c r="AI19" s="424">
        <v>7246860</v>
      </c>
      <c r="AJ19" s="424">
        <v>6693050</v>
      </c>
      <c r="AK19" s="424">
        <v>23641460</v>
      </c>
      <c r="AL19" s="424">
        <v>22976450</v>
      </c>
      <c r="AM19" s="424">
        <v>22862850</v>
      </c>
      <c r="AN19" s="424">
        <v>20915530</v>
      </c>
      <c r="AO19" s="424">
        <v>20644870</v>
      </c>
      <c r="AP19" s="424">
        <v>20188680</v>
      </c>
      <c r="AQ19" s="424">
        <v>20111460</v>
      </c>
      <c r="AR19" s="424">
        <v>19967060</v>
      </c>
      <c r="AS19" s="424">
        <v>22914980</v>
      </c>
      <c r="AT19" s="424">
        <v>22182250</v>
      </c>
      <c r="AU19" s="424">
        <v>4599740</v>
      </c>
      <c r="AV19" s="424">
        <v>4480860</v>
      </c>
      <c r="AW19" s="424">
        <v>7272620</v>
      </c>
      <c r="AX19" s="424">
        <v>6663710</v>
      </c>
      <c r="AY19" s="424">
        <v>34696580</v>
      </c>
      <c r="AZ19" s="424">
        <v>31732750</v>
      </c>
      <c r="BA19" s="424">
        <v>31732750</v>
      </c>
      <c r="BB19" s="424">
        <v>31346820</v>
      </c>
      <c r="BC19" s="424">
        <v>31728180</v>
      </c>
      <c r="BD19" s="424">
        <v>31269060</v>
      </c>
      <c r="BE19" s="424">
        <v>35894770</v>
      </c>
      <c r="BF19" s="424">
        <v>35239730</v>
      </c>
      <c r="BG19" s="424">
        <v>5961480</v>
      </c>
      <c r="BH19" s="424">
        <v>5824080</v>
      </c>
      <c r="BI19" s="424">
        <v>31517220</v>
      </c>
      <c r="BJ19" s="424">
        <v>33960490</v>
      </c>
      <c r="BK19" s="424">
        <v>33446220</v>
      </c>
      <c r="BL19" s="424">
        <v>29902280</v>
      </c>
      <c r="BM19" s="424">
        <v>29902280</v>
      </c>
      <c r="BN19" s="424">
        <v>29436500</v>
      </c>
      <c r="BO19" s="424">
        <v>29413310</v>
      </c>
      <c r="BP19" s="424">
        <v>29608590</v>
      </c>
      <c r="BQ19" s="424">
        <v>30794560</v>
      </c>
      <c r="BR19" s="424">
        <v>30494260</v>
      </c>
      <c r="BS19" s="424">
        <v>2240860</v>
      </c>
      <c r="BT19" s="424">
        <v>2406400</v>
      </c>
      <c r="BU19" s="424">
        <v>15405040</v>
      </c>
    </row>
    <row r="20" spans="1:73" ht="15.95" customHeight="1">
      <c r="B20" s="2761" t="s">
        <v>718</v>
      </c>
      <c r="C20" s="2762"/>
      <c r="D20" s="423">
        <f>SUM(D23,D28,D21)</f>
        <v>398317670438</v>
      </c>
      <c r="E20" s="424">
        <v>400014510645</v>
      </c>
      <c r="F20" s="91"/>
      <c r="G20" s="91"/>
      <c r="H20" s="91"/>
      <c r="I20" s="424">
        <v>398761339076</v>
      </c>
      <c r="J20" s="424">
        <v>399204929710</v>
      </c>
      <c r="K20" s="424">
        <v>399641885881</v>
      </c>
      <c r="L20" s="424">
        <v>400014510645</v>
      </c>
      <c r="M20" s="424">
        <v>402335076026</v>
      </c>
      <c r="N20" s="424">
        <v>402777514168</v>
      </c>
      <c r="O20" s="424">
        <v>403195884757</v>
      </c>
      <c r="P20" s="424">
        <v>403505164170</v>
      </c>
      <c r="Q20" s="424">
        <v>403859700904</v>
      </c>
      <c r="R20" s="424">
        <v>404305014636</v>
      </c>
      <c r="S20" s="424">
        <v>404885825285</v>
      </c>
      <c r="T20" s="424">
        <v>405325700201</v>
      </c>
      <c r="U20" s="424">
        <v>405765062247</v>
      </c>
      <c r="V20" s="424">
        <v>405724143716</v>
      </c>
      <c r="W20" s="424">
        <v>406147109381</v>
      </c>
      <c r="X20" s="424">
        <v>406456143724</v>
      </c>
      <c r="Y20" s="424">
        <v>406886982911</v>
      </c>
      <c r="Z20" s="424">
        <v>407326868206</v>
      </c>
      <c r="AA20" s="424">
        <v>407772314391</v>
      </c>
      <c r="AB20" s="424">
        <v>408082437433</v>
      </c>
      <c r="AC20" s="424">
        <v>408528463543</v>
      </c>
      <c r="AD20" s="424">
        <v>408709239074</v>
      </c>
      <c r="AE20" s="424">
        <v>409636752519</v>
      </c>
      <c r="AF20" s="424">
        <v>409578967441</v>
      </c>
      <c r="AG20" s="424">
        <v>409708190648</v>
      </c>
      <c r="AH20" s="424">
        <v>410009168678</v>
      </c>
      <c r="AI20" s="424">
        <v>400544060913</v>
      </c>
      <c r="AJ20" s="424">
        <v>398906952480</v>
      </c>
      <c r="AK20" s="424">
        <v>399352967304</v>
      </c>
      <c r="AL20" s="424">
        <v>399797774682</v>
      </c>
      <c r="AM20" s="424">
        <v>400234026776</v>
      </c>
      <c r="AN20" s="424">
        <v>400679849894</v>
      </c>
      <c r="AO20" s="424">
        <v>400802261045</v>
      </c>
      <c r="AP20" s="424">
        <v>401247566717</v>
      </c>
      <c r="AQ20" s="424">
        <v>301464270384</v>
      </c>
      <c r="AR20" s="424">
        <v>301783200579</v>
      </c>
      <c r="AS20" s="424">
        <v>302102749362</v>
      </c>
      <c r="AT20" s="424">
        <v>302427579047</v>
      </c>
      <c r="AU20" s="424">
        <v>302720810927</v>
      </c>
      <c r="AV20" s="424">
        <v>303016058675</v>
      </c>
      <c r="AW20" s="424">
        <v>303276846350</v>
      </c>
      <c r="AX20" s="424">
        <v>303595543273</v>
      </c>
      <c r="AY20" s="424">
        <v>303919046193</v>
      </c>
      <c r="AZ20" s="424">
        <v>304227925819</v>
      </c>
      <c r="BA20" s="424">
        <v>304539235916</v>
      </c>
      <c r="BB20" s="424">
        <v>304594616817</v>
      </c>
      <c r="BC20" s="424">
        <v>304829551002</v>
      </c>
      <c r="BD20" s="424">
        <v>305149567347</v>
      </c>
      <c r="BE20" s="424">
        <v>305462317113</v>
      </c>
      <c r="BF20" s="424">
        <v>305757189546</v>
      </c>
      <c r="BG20" s="424">
        <v>306060654346</v>
      </c>
      <c r="BH20" s="424">
        <v>306374373980</v>
      </c>
      <c r="BI20" s="424">
        <v>306696330042</v>
      </c>
      <c r="BJ20" s="424">
        <v>307017901370</v>
      </c>
      <c r="BK20" s="424">
        <v>307340204482</v>
      </c>
      <c r="BL20" s="424">
        <v>307586028803</v>
      </c>
      <c r="BM20" s="424">
        <v>307907181800</v>
      </c>
      <c r="BN20" s="424">
        <v>308229098313</v>
      </c>
      <c r="BO20" s="424">
        <v>308549991097</v>
      </c>
      <c r="BP20" s="424">
        <v>308833599335</v>
      </c>
      <c r="BQ20" s="424">
        <v>309128925377</v>
      </c>
      <c r="BR20" s="424">
        <v>309792315466</v>
      </c>
      <c r="BS20" s="424">
        <v>310110170802</v>
      </c>
      <c r="BT20" s="424">
        <v>310403330918</v>
      </c>
      <c r="BU20" s="424">
        <v>312210101695</v>
      </c>
    </row>
    <row r="21" spans="1:73" ht="15.95" customHeight="1">
      <c r="B21" s="2759" t="s">
        <v>719</v>
      </c>
      <c r="C21" s="2760"/>
      <c r="D21" s="423">
        <f>D22</f>
        <v>12295972610</v>
      </c>
      <c r="E21" s="424">
        <v>12245974610</v>
      </c>
      <c r="F21" s="91"/>
      <c r="G21" s="91"/>
      <c r="H21" s="91"/>
      <c r="I21" s="424">
        <v>12295972610</v>
      </c>
      <c r="J21" s="424">
        <v>12295972610</v>
      </c>
      <c r="K21" s="424">
        <v>12295972610</v>
      </c>
      <c r="L21" s="424">
        <v>12245974610</v>
      </c>
      <c r="M21" s="424">
        <v>14121342420</v>
      </c>
      <c r="N21" s="424">
        <v>14121342420</v>
      </c>
      <c r="O21" s="424">
        <v>14121342420</v>
      </c>
      <c r="P21" s="424">
        <v>13985628700</v>
      </c>
      <c r="Q21" s="424">
        <v>13896611800</v>
      </c>
      <c r="R21" s="424">
        <v>13896611800</v>
      </c>
      <c r="S21" s="424">
        <v>14032325520</v>
      </c>
      <c r="T21" s="424">
        <v>14032325520</v>
      </c>
      <c r="U21" s="424">
        <v>14032325520</v>
      </c>
      <c r="V21" s="424">
        <v>13620837520</v>
      </c>
      <c r="W21" s="424">
        <v>13620837520</v>
      </c>
      <c r="X21" s="424">
        <v>13507247520</v>
      </c>
      <c r="Y21" s="424">
        <v>13507247520</v>
      </c>
      <c r="Z21" s="424">
        <v>13507247520</v>
      </c>
      <c r="AA21" s="424">
        <v>13507247520</v>
      </c>
      <c r="AB21" s="424">
        <v>13371533800</v>
      </c>
      <c r="AC21" s="424">
        <v>13371533800</v>
      </c>
      <c r="AD21" s="424">
        <v>13106492300</v>
      </c>
      <c r="AE21" s="424">
        <v>13587877020</v>
      </c>
      <c r="AF21" s="424">
        <v>13083543520</v>
      </c>
      <c r="AG21" s="424">
        <v>12768976820</v>
      </c>
      <c r="AH21" s="424">
        <v>12623930820</v>
      </c>
      <c r="AI21" s="424">
        <v>2712334130</v>
      </c>
      <c r="AJ21" s="424">
        <v>659429500</v>
      </c>
      <c r="AK21" s="424">
        <v>659429500</v>
      </c>
      <c r="AL21" s="424">
        <v>659429500</v>
      </c>
      <c r="AM21" s="424">
        <v>659429500</v>
      </c>
      <c r="AN21" s="424">
        <v>659429500</v>
      </c>
      <c r="AO21" s="424">
        <v>345671000</v>
      </c>
      <c r="AP21" s="424">
        <v>345671000</v>
      </c>
      <c r="AQ21" s="424">
        <v>345671000</v>
      </c>
      <c r="AR21" s="424">
        <v>345671000</v>
      </c>
      <c r="AS21" s="424">
        <v>345671000</v>
      </c>
      <c r="AT21" s="424">
        <v>345671000</v>
      </c>
      <c r="AU21" s="424">
        <v>345671000</v>
      </c>
      <c r="AV21" s="424">
        <v>345671000</v>
      </c>
      <c r="AW21" s="424">
        <v>345671000</v>
      </c>
      <c r="AX21" s="424">
        <v>345671000</v>
      </c>
      <c r="AY21" s="424">
        <v>345671000</v>
      </c>
      <c r="AZ21" s="424">
        <v>345671000</v>
      </c>
      <c r="BA21" s="424">
        <v>345671000</v>
      </c>
      <c r="BB21" s="424">
        <v>87327000</v>
      </c>
      <c r="BC21" s="424">
        <v>0</v>
      </c>
      <c r="BD21" s="424">
        <v>0</v>
      </c>
      <c r="BE21" s="424">
        <v>0</v>
      </c>
      <c r="BF21" s="424">
        <v>0</v>
      </c>
      <c r="BG21" s="424">
        <v>0</v>
      </c>
      <c r="BH21" s="424">
        <v>0</v>
      </c>
      <c r="BI21" s="424">
        <v>0</v>
      </c>
      <c r="BJ21" s="424">
        <v>0</v>
      </c>
      <c r="BK21" s="424">
        <v>0</v>
      </c>
      <c r="BL21" s="424">
        <v>0</v>
      </c>
      <c r="BM21" s="424">
        <v>0</v>
      </c>
      <c r="BN21" s="424">
        <v>0</v>
      </c>
      <c r="BO21" s="424">
        <v>0</v>
      </c>
      <c r="BP21" s="424">
        <v>0</v>
      </c>
      <c r="BQ21" s="424">
        <v>0</v>
      </c>
      <c r="BR21" s="424">
        <v>345671000</v>
      </c>
      <c r="BS21" s="424">
        <v>345671000</v>
      </c>
      <c r="BT21" s="424">
        <v>345671000</v>
      </c>
      <c r="BU21" s="424">
        <v>345671000</v>
      </c>
    </row>
    <row r="22" spans="1:73" ht="15.95" customHeight="1">
      <c r="B22" s="1872" t="s">
        <v>707</v>
      </c>
      <c r="C22" s="1873" t="s">
        <v>720</v>
      </c>
      <c r="D22" s="425">
        <v>12295972610</v>
      </c>
      <c r="E22" s="424">
        <v>12245974610</v>
      </c>
      <c r="F22" s="91"/>
      <c r="G22" s="91"/>
      <c r="H22" s="91"/>
      <c r="I22" s="424">
        <v>12295972610</v>
      </c>
      <c r="J22" s="424">
        <v>12295972610</v>
      </c>
      <c r="K22" s="424">
        <v>12295972610</v>
      </c>
      <c r="L22" s="424">
        <v>12245974610</v>
      </c>
      <c r="M22" s="424">
        <v>14121342420</v>
      </c>
      <c r="N22" s="424">
        <v>14121342420</v>
      </c>
      <c r="O22" s="424">
        <v>14121342420</v>
      </c>
      <c r="P22" s="424">
        <v>13985628700</v>
      </c>
      <c r="Q22" s="424">
        <v>13896611800</v>
      </c>
      <c r="R22" s="424">
        <v>13896611800</v>
      </c>
      <c r="S22" s="424">
        <v>14032325520</v>
      </c>
      <c r="T22" s="424">
        <v>14032325520</v>
      </c>
      <c r="U22" s="424">
        <v>14032325520</v>
      </c>
      <c r="V22" s="424">
        <v>13620837520</v>
      </c>
      <c r="W22" s="424">
        <v>13620837520</v>
      </c>
      <c r="X22" s="424">
        <v>13507247520</v>
      </c>
      <c r="Y22" s="424">
        <v>13507247520</v>
      </c>
      <c r="Z22" s="424">
        <v>13507247520</v>
      </c>
      <c r="AA22" s="424">
        <v>13507247520</v>
      </c>
      <c r="AB22" s="424">
        <v>13371533800</v>
      </c>
      <c r="AC22" s="424">
        <v>13371533800</v>
      </c>
      <c r="AD22" s="424">
        <v>13106492300</v>
      </c>
      <c r="AE22" s="424">
        <v>13587877020</v>
      </c>
      <c r="AF22" s="424">
        <v>13083543520</v>
      </c>
      <c r="AG22" s="424">
        <v>12768976820</v>
      </c>
      <c r="AH22" s="424">
        <v>12623930820</v>
      </c>
      <c r="AI22" s="424">
        <v>2712334130</v>
      </c>
      <c r="AJ22" s="424">
        <v>659429500</v>
      </c>
      <c r="AK22" s="424">
        <v>659429500</v>
      </c>
      <c r="AL22" s="424">
        <v>659429500</v>
      </c>
      <c r="AM22" s="424">
        <v>659429500</v>
      </c>
      <c r="AN22" s="424">
        <v>659429500</v>
      </c>
      <c r="AO22" s="424">
        <v>345671000</v>
      </c>
      <c r="AP22" s="424">
        <v>345671000</v>
      </c>
      <c r="AQ22" s="424">
        <v>345671000</v>
      </c>
      <c r="AR22" s="424">
        <v>345671000</v>
      </c>
      <c r="AS22" s="424">
        <v>345671000</v>
      </c>
      <c r="AT22" s="424">
        <v>345671000</v>
      </c>
      <c r="AU22" s="424">
        <v>345671000</v>
      </c>
      <c r="AV22" s="424">
        <v>345671000</v>
      </c>
      <c r="AW22" s="424">
        <v>345671000</v>
      </c>
      <c r="AX22" s="424">
        <v>345671000</v>
      </c>
      <c r="AY22" s="424">
        <v>345671000</v>
      </c>
      <c r="AZ22" s="424">
        <v>345671000</v>
      </c>
      <c r="BA22" s="424">
        <v>345671000</v>
      </c>
      <c r="BB22" s="424">
        <v>87327000</v>
      </c>
      <c r="BC22" s="424">
        <v>0</v>
      </c>
      <c r="BD22" s="424">
        <v>0</v>
      </c>
      <c r="BE22" s="424">
        <v>0</v>
      </c>
      <c r="BF22" s="424">
        <v>0</v>
      </c>
      <c r="BG22" s="424">
        <v>0</v>
      </c>
      <c r="BH22" s="424">
        <v>0</v>
      </c>
      <c r="BI22" s="424">
        <v>0</v>
      </c>
      <c r="BJ22" s="424">
        <v>0</v>
      </c>
      <c r="BK22" s="424">
        <v>0</v>
      </c>
      <c r="BL22" s="424">
        <v>0</v>
      </c>
      <c r="BM22" s="424">
        <v>0</v>
      </c>
      <c r="BN22" s="424">
        <v>0</v>
      </c>
      <c r="BO22" s="424">
        <v>0</v>
      </c>
      <c r="BP22" s="424">
        <v>0</v>
      </c>
      <c r="BQ22" s="424">
        <v>0</v>
      </c>
      <c r="BR22" s="424">
        <v>345671000</v>
      </c>
      <c r="BS22" s="424">
        <v>345671000</v>
      </c>
      <c r="BT22" s="424">
        <v>345671000</v>
      </c>
      <c r="BU22" s="424">
        <v>345671000</v>
      </c>
    </row>
    <row r="23" spans="1:73" ht="15.95" customHeight="1">
      <c r="B23" s="2759" t="s">
        <v>721</v>
      </c>
      <c r="C23" s="2760"/>
      <c r="D23" s="423">
        <f>SUM(D24:D27)</f>
        <v>385399519839</v>
      </c>
      <c r="E23" s="424">
        <v>387133752975</v>
      </c>
      <c r="F23" s="91"/>
      <c r="G23" s="91"/>
      <c r="H23" s="91"/>
      <c r="I23" s="424">
        <v>385833078123</v>
      </c>
      <c r="J23" s="424">
        <v>386266636407</v>
      </c>
      <c r="K23" s="424">
        <v>386700194691</v>
      </c>
      <c r="L23" s="424">
        <v>387133752975</v>
      </c>
      <c r="M23" s="424">
        <v>387567311259</v>
      </c>
      <c r="N23" s="424">
        <v>388000997973</v>
      </c>
      <c r="O23" s="424">
        <v>388434684687</v>
      </c>
      <c r="P23" s="424">
        <v>388868371401</v>
      </c>
      <c r="Q23" s="424">
        <v>389302058115</v>
      </c>
      <c r="R23" s="424">
        <v>389735744829</v>
      </c>
      <c r="S23" s="424">
        <v>390169431543</v>
      </c>
      <c r="T23" s="424">
        <v>390603118257</v>
      </c>
      <c r="U23" s="424">
        <v>391036804971</v>
      </c>
      <c r="V23" s="424">
        <v>391398021685</v>
      </c>
      <c r="W23" s="424">
        <v>391831559590</v>
      </c>
      <c r="X23" s="424">
        <v>392265097495</v>
      </c>
      <c r="Y23" s="424">
        <v>392698635400</v>
      </c>
      <c r="Z23" s="424">
        <v>393132173305</v>
      </c>
      <c r="AA23" s="424">
        <v>393565711210</v>
      </c>
      <c r="AB23" s="424">
        <v>393999249115</v>
      </c>
      <c r="AC23" s="424">
        <v>394432787020</v>
      </c>
      <c r="AD23" s="424">
        <v>394866324925</v>
      </c>
      <c r="AE23" s="424">
        <v>395299862830</v>
      </c>
      <c r="AF23" s="424">
        <v>395733400735</v>
      </c>
      <c r="AG23" s="424">
        <v>396166938640</v>
      </c>
      <c r="AH23" s="424">
        <v>396600476545</v>
      </c>
      <c r="AI23" s="424">
        <v>397034014450</v>
      </c>
      <c r="AJ23" s="424">
        <v>397467552355</v>
      </c>
      <c r="AK23" s="424">
        <v>397901090260</v>
      </c>
      <c r="AL23" s="424">
        <v>398334628165</v>
      </c>
      <c r="AM23" s="424">
        <v>398768166070</v>
      </c>
      <c r="AN23" s="424">
        <v>399201703975</v>
      </c>
      <c r="AO23" s="424">
        <v>399635241880</v>
      </c>
      <c r="AP23" s="424">
        <v>400068779785</v>
      </c>
      <c r="AQ23" s="424">
        <v>300345786560</v>
      </c>
      <c r="AR23" s="424">
        <v>300660527880</v>
      </c>
      <c r="AS23" s="424">
        <v>300975269200</v>
      </c>
      <c r="AT23" s="424">
        <v>301290010520</v>
      </c>
      <c r="AU23" s="424">
        <v>301604751840</v>
      </c>
      <c r="AV23" s="424">
        <v>301919493160</v>
      </c>
      <c r="AW23" s="424">
        <v>302234234480</v>
      </c>
      <c r="AX23" s="424">
        <v>302548975800</v>
      </c>
      <c r="AY23" s="424">
        <v>302863717120</v>
      </c>
      <c r="AZ23" s="424">
        <v>303178458440</v>
      </c>
      <c r="BA23" s="424">
        <v>303493199760</v>
      </c>
      <c r="BB23" s="424">
        <v>303807941080</v>
      </c>
      <c r="BC23" s="424">
        <v>304122682400</v>
      </c>
      <c r="BD23" s="424">
        <v>304437423720</v>
      </c>
      <c r="BE23" s="424">
        <v>304752165040</v>
      </c>
      <c r="BF23" s="424">
        <v>305066906360</v>
      </c>
      <c r="BG23" s="424">
        <v>305381647680</v>
      </c>
      <c r="BH23" s="424">
        <v>305696389000</v>
      </c>
      <c r="BI23" s="424">
        <v>306011130320</v>
      </c>
      <c r="BJ23" s="424">
        <v>306325871640</v>
      </c>
      <c r="BK23" s="424">
        <v>306640612960</v>
      </c>
      <c r="BL23" s="424">
        <v>306955354280</v>
      </c>
      <c r="BM23" s="424">
        <v>307270095600</v>
      </c>
      <c r="BN23" s="424">
        <v>307584836920</v>
      </c>
      <c r="BO23" s="424">
        <v>307899578240</v>
      </c>
      <c r="BP23" s="424">
        <v>308214319560</v>
      </c>
      <c r="BQ23" s="424">
        <v>308529060880</v>
      </c>
      <c r="BR23" s="424">
        <v>308843802200</v>
      </c>
      <c r="BS23" s="424">
        <v>309158543520</v>
      </c>
      <c r="BT23" s="424">
        <v>309473284840</v>
      </c>
      <c r="BU23" s="424">
        <v>311361732760</v>
      </c>
    </row>
    <row r="24" spans="1:73" ht="15.95" customHeight="1">
      <c r="B24" s="1872" t="s">
        <v>707</v>
      </c>
      <c r="C24" s="1873" t="s">
        <v>722</v>
      </c>
      <c r="D24" s="423">
        <v>160120000000</v>
      </c>
      <c r="E24" s="424">
        <v>160120000000</v>
      </c>
      <c r="F24" s="91"/>
      <c r="G24" s="91"/>
      <c r="H24" s="91"/>
      <c r="I24" s="424">
        <v>160120000000</v>
      </c>
      <c r="J24" s="424">
        <v>160120000000</v>
      </c>
      <c r="K24" s="424">
        <v>160120000000</v>
      </c>
      <c r="L24" s="424">
        <v>160120000000</v>
      </c>
      <c r="M24" s="424">
        <v>160120000000</v>
      </c>
      <c r="N24" s="424">
        <v>160120000000</v>
      </c>
      <c r="O24" s="424">
        <v>160120000000</v>
      </c>
      <c r="P24" s="424">
        <v>160120000000</v>
      </c>
      <c r="Q24" s="424">
        <v>160120000000</v>
      </c>
      <c r="R24" s="424">
        <v>160120000000</v>
      </c>
      <c r="S24" s="424">
        <v>160120000000</v>
      </c>
      <c r="T24" s="424">
        <v>160120000000</v>
      </c>
      <c r="U24" s="424">
        <v>160120000000</v>
      </c>
      <c r="V24" s="424">
        <v>160120000000</v>
      </c>
      <c r="W24" s="424">
        <v>160120000000</v>
      </c>
      <c r="X24" s="424">
        <v>160120000000</v>
      </c>
      <c r="Y24" s="424">
        <v>160120000000</v>
      </c>
      <c r="Z24" s="424">
        <v>160120000000</v>
      </c>
      <c r="AA24" s="424">
        <v>160120000000</v>
      </c>
      <c r="AB24" s="424">
        <v>160120000000</v>
      </c>
      <c r="AC24" s="424">
        <v>160120000000</v>
      </c>
      <c r="AD24" s="424">
        <v>160120000000</v>
      </c>
      <c r="AE24" s="424">
        <v>160120000000</v>
      </c>
      <c r="AF24" s="424">
        <v>160120000000</v>
      </c>
      <c r="AG24" s="424">
        <v>160120000000</v>
      </c>
      <c r="AH24" s="424">
        <v>160120000000</v>
      </c>
      <c r="AI24" s="424">
        <v>160120000000</v>
      </c>
      <c r="AJ24" s="424">
        <v>160120000000</v>
      </c>
      <c r="AK24" s="424">
        <v>160120000000</v>
      </c>
      <c r="AL24" s="424">
        <v>160120000000</v>
      </c>
      <c r="AM24" s="424">
        <v>160120000000</v>
      </c>
      <c r="AN24" s="424">
        <v>160120000000</v>
      </c>
      <c r="AO24" s="424">
        <v>160120000000</v>
      </c>
      <c r="AP24" s="424">
        <v>160120000000</v>
      </c>
      <c r="AQ24" s="424">
        <v>125979095104</v>
      </c>
      <c r="AR24" s="424">
        <v>125979095104</v>
      </c>
      <c r="AS24" s="424">
        <v>125979095104</v>
      </c>
      <c r="AT24" s="424">
        <v>125979095104</v>
      </c>
      <c r="AU24" s="424">
        <v>125979095104</v>
      </c>
      <c r="AV24" s="424">
        <v>125979095104</v>
      </c>
      <c r="AW24" s="424">
        <v>125979095104</v>
      </c>
      <c r="AX24" s="424">
        <v>125979095104</v>
      </c>
      <c r="AY24" s="424">
        <v>125979095104</v>
      </c>
      <c r="AZ24" s="424">
        <v>125979095104</v>
      </c>
      <c r="BA24" s="424">
        <v>125979095104</v>
      </c>
      <c r="BB24" s="424">
        <v>125979095104</v>
      </c>
      <c r="BC24" s="424">
        <v>125979095104</v>
      </c>
      <c r="BD24" s="424">
        <v>125979095104</v>
      </c>
      <c r="BE24" s="424">
        <v>125979095104</v>
      </c>
      <c r="BF24" s="424">
        <v>125979095104</v>
      </c>
      <c r="BG24" s="424">
        <v>125979095104</v>
      </c>
      <c r="BH24" s="424">
        <v>125979095104</v>
      </c>
      <c r="BI24" s="424">
        <v>125979095104</v>
      </c>
      <c r="BJ24" s="424">
        <v>125979095104</v>
      </c>
      <c r="BK24" s="424">
        <v>125979095104</v>
      </c>
      <c r="BL24" s="424">
        <v>125979095104</v>
      </c>
      <c r="BM24" s="424">
        <v>125979095104</v>
      </c>
      <c r="BN24" s="424">
        <v>125979095104</v>
      </c>
      <c r="BO24" s="424">
        <v>125979095104</v>
      </c>
      <c r="BP24" s="424">
        <v>125979095104</v>
      </c>
      <c r="BQ24" s="424">
        <v>125979095104</v>
      </c>
      <c r="BR24" s="424">
        <v>125979095104</v>
      </c>
      <c r="BS24" s="424">
        <v>125979095104</v>
      </c>
      <c r="BT24" s="424">
        <v>125979095104</v>
      </c>
      <c r="BU24" s="424">
        <v>125979095104</v>
      </c>
    </row>
    <row r="25" spans="1:73" ht="15.95" customHeight="1">
      <c r="B25" s="1872" t="s">
        <v>709</v>
      </c>
      <c r="C25" s="1873" t="s">
        <v>723</v>
      </c>
      <c r="D25" s="423">
        <v>240252470000</v>
      </c>
      <c r="E25" s="424">
        <v>240252470000</v>
      </c>
      <c r="F25" s="91"/>
      <c r="G25" s="91"/>
      <c r="H25" s="91"/>
      <c r="I25" s="424">
        <v>240252470000</v>
      </c>
      <c r="J25" s="424">
        <v>240252470000</v>
      </c>
      <c r="K25" s="424">
        <v>240252470000</v>
      </c>
      <c r="L25" s="424">
        <v>240252470000</v>
      </c>
      <c r="M25" s="424">
        <v>240252470000</v>
      </c>
      <c r="N25" s="424">
        <v>240252470000</v>
      </c>
      <c r="O25" s="424">
        <v>240252470000</v>
      </c>
      <c r="P25" s="424">
        <v>240252470000</v>
      </c>
      <c r="Q25" s="424">
        <v>240252470000</v>
      </c>
      <c r="R25" s="424">
        <v>240252470000</v>
      </c>
      <c r="S25" s="424">
        <v>240252470000</v>
      </c>
      <c r="T25" s="424">
        <v>240252470000</v>
      </c>
      <c r="U25" s="424">
        <v>240252470000</v>
      </c>
      <c r="V25" s="424">
        <v>240180000000</v>
      </c>
      <c r="W25" s="424">
        <v>240180000000</v>
      </c>
      <c r="X25" s="424">
        <v>240180000000</v>
      </c>
      <c r="Y25" s="424">
        <v>240180000000</v>
      </c>
      <c r="Z25" s="424">
        <v>240180000000</v>
      </c>
      <c r="AA25" s="424">
        <v>240180000000</v>
      </c>
      <c r="AB25" s="424">
        <v>240180000000</v>
      </c>
      <c r="AC25" s="424">
        <v>240180000000</v>
      </c>
      <c r="AD25" s="424">
        <v>240180000000</v>
      </c>
      <c r="AE25" s="424">
        <v>240180000000</v>
      </c>
      <c r="AF25" s="424">
        <v>240180000000</v>
      </c>
      <c r="AG25" s="424">
        <v>240180000000</v>
      </c>
      <c r="AH25" s="424">
        <v>240180000000</v>
      </c>
      <c r="AI25" s="424">
        <v>240180000000</v>
      </c>
      <c r="AJ25" s="424">
        <v>240180000000</v>
      </c>
      <c r="AK25" s="424">
        <v>240180000000</v>
      </c>
      <c r="AL25" s="424">
        <v>240180000000</v>
      </c>
      <c r="AM25" s="424">
        <v>240180000000</v>
      </c>
      <c r="AN25" s="424">
        <v>240180000000</v>
      </c>
      <c r="AO25" s="424">
        <v>240180000000</v>
      </c>
      <c r="AP25" s="424">
        <v>240180000000</v>
      </c>
      <c r="AQ25" s="424">
        <v>188844792176</v>
      </c>
      <c r="AR25" s="424">
        <v>188844792176</v>
      </c>
      <c r="AS25" s="424">
        <v>188844792176</v>
      </c>
      <c r="AT25" s="424">
        <v>188844792176</v>
      </c>
      <c r="AU25" s="424">
        <v>188844792176</v>
      </c>
      <c r="AV25" s="424">
        <v>188844792176</v>
      </c>
      <c r="AW25" s="424">
        <v>188844792176</v>
      </c>
      <c r="AX25" s="424">
        <v>188844792176</v>
      </c>
      <c r="AY25" s="424">
        <v>188844792176</v>
      </c>
      <c r="AZ25" s="424">
        <v>188844792176</v>
      </c>
      <c r="BA25" s="424">
        <v>188844792176</v>
      </c>
      <c r="BB25" s="424">
        <v>188844792176</v>
      </c>
      <c r="BC25" s="424">
        <v>188844792176</v>
      </c>
      <c r="BD25" s="424">
        <v>188844792176</v>
      </c>
      <c r="BE25" s="424">
        <v>188844792176</v>
      </c>
      <c r="BF25" s="424">
        <v>188844792176</v>
      </c>
      <c r="BG25" s="424">
        <v>188844792176</v>
      </c>
      <c r="BH25" s="424">
        <v>188844792176</v>
      </c>
      <c r="BI25" s="424">
        <v>188844792176</v>
      </c>
      <c r="BJ25" s="424">
        <v>188844792176</v>
      </c>
      <c r="BK25" s="424">
        <v>188844792176</v>
      </c>
      <c r="BL25" s="424">
        <v>188844792176</v>
      </c>
      <c r="BM25" s="424">
        <v>188844792176</v>
      </c>
      <c r="BN25" s="424">
        <v>188844792176</v>
      </c>
      <c r="BO25" s="424">
        <v>188844792176</v>
      </c>
      <c r="BP25" s="424">
        <v>188844792176</v>
      </c>
      <c r="BQ25" s="424">
        <v>188844792176</v>
      </c>
      <c r="BR25" s="424">
        <v>188844792176</v>
      </c>
      <c r="BS25" s="424">
        <v>188844792176</v>
      </c>
      <c r="BT25" s="424">
        <v>188844792176</v>
      </c>
      <c r="BU25" s="424">
        <v>188844792176</v>
      </c>
    </row>
    <row r="26" spans="1:73" ht="15.95" customHeight="1">
      <c r="B26" s="1876"/>
      <c r="C26" s="1873" t="s">
        <v>724</v>
      </c>
      <c r="D26" s="427">
        <v>-14972950161</v>
      </c>
      <c r="E26" s="427">
        <v>-13238717025</v>
      </c>
      <c r="F26" s="92"/>
      <c r="G26" s="91"/>
      <c r="H26" s="91"/>
      <c r="I26" s="427">
        <v>-14539391877</v>
      </c>
      <c r="J26" s="427">
        <v>-14105833593</v>
      </c>
      <c r="K26" s="427">
        <v>-13672275309</v>
      </c>
      <c r="L26" s="427">
        <v>-13238717025</v>
      </c>
      <c r="M26" s="427">
        <v>-12805158741</v>
      </c>
      <c r="N26" s="427">
        <v>-12371472027</v>
      </c>
      <c r="O26" s="427">
        <v>-11937785313</v>
      </c>
      <c r="P26" s="427">
        <v>-11504098599</v>
      </c>
      <c r="Q26" s="427">
        <v>-11070411885</v>
      </c>
      <c r="R26" s="427">
        <v>-10636725171</v>
      </c>
      <c r="S26" s="427">
        <v>-10203038457</v>
      </c>
      <c r="T26" s="427">
        <v>-9769351743</v>
      </c>
      <c r="U26" s="427">
        <v>-9335665029</v>
      </c>
      <c r="V26" s="427">
        <v>-8901978315</v>
      </c>
      <c r="W26" s="427">
        <v>-8468440410</v>
      </c>
      <c r="X26" s="427">
        <v>-8034902505</v>
      </c>
      <c r="Y26" s="427">
        <v>-7601364600</v>
      </c>
      <c r="Z26" s="427">
        <v>-7167826695</v>
      </c>
      <c r="AA26" s="427">
        <v>-6734288790</v>
      </c>
      <c r="AB26" s="427">
        <v>-6300750885</v>
      </c>
      <c r="AC26" s="427">
        <v>-5867212980</v>
      </c>
      <c r="AD26" s="427">
        <v>-5433675075</v>
      </c>
      <c r="AE26" s="427">
        <v>-5000137170</v>
      </c>
      <c r="AF26" s="427">
        <v>-4566599265</v>
      </c>
      <c r="AG26" s="427">
        <v>-4133061360</v>
      </c>
      <c r="AH26" s="427">
        <v>-3699523455</v>
      </c>
      <c r="AI26" s="427">
        <v>-3265985550</v>
      </c>
      <c r="AJ26" s="427">
        <v>-2832447645</v>
      </c>
      <c r="AK26" s="427">
        <v>-2398909740</v>
      </c>
      <c r="AL26" s="427">
        <v>-1965371835</v>
      </c>
      <c r="AM26" s="427">
        <v>-1531833930</v>
      </c>
      <c r="AN26" s="427">
        <v>-1098296025</v>
      </c>
      <c r="AO26" s="427">
        <v>-664758120</v>
      </c>
      <c r="AP26" s="427">
        <v>-231220215</v>
      </c>
      <c r="AQ26" s="427">
        <v>-14478100720</v>
      </c>
      <c r="AR26" s="427">
        <v>-14163359400</v>
      </c>
      <c r="AS26" s="427">
        <v>-13848618080</v>
      </c>
      <c r="AT26" s="427">
        <v>-13533876760</v>
      </c>
      <c r="AU26" s="427">
        <v>-13219135440</v>
      </c>
      <c r="AV26" s="427">
        <v>-12904394120</v>
      </c>
      <c r="AW26" s="427">
        <v>-12589652800</v>
      </c>
      <c r="AX26" s="427">
        <v>-12274911480</v>
      </c>
      <c r="AY26" s="427">
        <v>-11960170160</v>
      </c>
      <c r="AZ26" s="427">
        <v>-11645428840</v>
      </c>
      <c r="BA26" s="427">
        <v>-11330687520</v>
      </c>
      <c r="BB26" s="427">
        <v>-11015946200</v>
      </c>
      <c r="BC26" s="427">
        <v>-10701204880</v>
      </c>
      <c r="BD26" s="427">
        <v>-10386463560</v>
      </c>
      <c r="BE26" s="427">
        <v>-10071722240</v>
      </c>
      <c r="BF26" s="427">
        <v>-9756980920</v>
      </c>
      <c r="BG26" s="427">
        <v>-9442239600</v>
      </c>
      <c r="BH26" s="427">
        <v>-9127498280</v>
      </c>
      <c r="BI26" s="427">
        <v>-8812756960</v>
      </c>
      <c r="BJ26" s="427">
        <v>-8498015640</v>
      </c>
      <c r="BK26" s="427">
        <v>-8183274320</v>
      </c>
      <c r="BL26" s="427">
        <v>-7868533000</v>
      </c>
      <c r="BM26" s="427">
        <v>-7553791680</v>
      </c>
      <c r="BN26" s="427">
        <v>-7239050360</v>
      </c>
      <c r="BO26" s="427">
        <v>-6924309040</v>
      </c>
      <c r="BP26" s="427">
        <v>-6609567720</v>
      </c>
      <c r="BQ26" s="427">
        <v>-6294826400</v>
      </c>
      <c r="BR26" s="427">
        <v>-5980085080</v>
      </c>
      <c r="BS26" s="427">
        <v>-5665343760</v>
      </c>
      <c r="BT26" s="427">
        <v>-5350602440</v>
      </c>
      <c r="BU26" s="427">
        <v>-3462154520</v>
      </c>
    </row>
    <row r="27" spans="1:73" ht="15.95" customHeight="1">
      <c r="B27" s="1872" t="s">
        <v>191</v>
      </c>
      <c r="C27" s="1877" t="s">
        <v>725</v>
      </c>
      <c r="D27" s="423">
        <v>0</v>
      </c>
      <c r="E27" s="424">
        <v>0</v>
      </c>
      <c r="F27" s="91"/>
      <c r="G27" s="91"/>
      <c r="H27" s="91"/>
      <c r="I27" s="424">
        <v>0</v>
      </c>
      <c r="J27" s="424">
        <v>0</v>
      </c>
      <c r="K27" s="424">
        <v>0</v>
      </c>
      <c r="L27" s="424">
        <v>0</v>
      </c>
      <c r="M27" s="424">
        <v>0</v>
      </c>
      <c r="N27" s="424">
        <v>0</v>
      </c>
      <c r="O27" s="424">
        <v>0</v>
      </c>
      <c r="P27" s="424">
        <v>0</v>
      </c>
      <c r="Q27" s="424">
        <v>0</v>
      </c>
      <c r="R27" s="424">
        <v>0</v>
      </c>
      <c r="S27" s="424">
        <v>0</v>
      </c>
      <c r="T27" s="424">
        <v>0</v>
      </c>
      <c r="U27" s="424">
        <v>0</v>
      </c>
      <c r="V27" s="424">
        <v>0</v>
      </c>
      <c r="W27" s="424">
        <v>0</v>
      </c>
      <c r="X27" s="424">
        <v>0</v>
      </c>
      <c r="Y27" s="424">
        <v>0</v>
      </c>
      <c r="Z27" s="424">
        <v>0</v>
      </c>
      <c r="AA27" s="424">
        <v>0</v>
      </c>
      <c r="AB27" s="424">
        <v>0</v>
      </c>
      <c r="AC27" s="424">
        <v>0</v>
      </c>
      <c r="AD27" s="424">
        <v>0</v>
      </c>
      <c r="AE27" s="424">
        <v>0</v>
      </c>
      <c r="AF27" s="424">
        <v>0</v>
      </c>
      <c r="AG27" s="424">
        <v>0</v>
      </c>
      <c r="AH27" s="424">
        <v>0</v>
      </c>
      <c r="AI27" s="424">
        <v>0</v>
      </c>
      <c r="AJ27" s="424">
        <v>0</v>
      </c>
      <c r="AK27" s="424">
        <v>0</v>
      </c>
      <c r="AL27" s="424">
        <v>0</v>
      </c>
      <c r="AM27" s="424">
        <v>0</v>
      </c>
      <c r="AN27" s="424">
        <v>0</v>
      </c>
      <c r="AO27" s="424">
        <v>0</v>
      </c>
      <c r="AP27" s="424">
        <v>0</v>
      </c>
      <c r="AQ27" s="424">
        <v>0</v>
      </c>
      <c r="AR27" s="424">
        <v>0</v>
      </c>
      <c r="AS27" s="424">
        <v>0</v>
      </c>
      <c r="AT27" s="424">
        <v>0</v>
      </c>
      <c r="AU27" s="424">
        <v>0</v>
      </c>
      <c r="AV27" s="424">
        <v>0</v>
      </c>
      <c r="AW27" s="424">
        <v>0</v>
      </c>
      <c r="AX27" s="424">
        <v>0</v>
      </c>
      <c r="AY27" s="424">
        <v>0</v>
      </c>
      <c r="AZ27" s="424">
        <v>0</v>
      </c>
      <c r="BA27" s="424">
        <v>0</v>
      </c>
      <c r="BB27" s="424">
        <v>0</v>
      </c>
      <c r="BC27" s="424">
        <v>0</v>
      </c>
      <c r="BD27" s="424">
        <v>0</v>
      </c>
      <c r="BE27" s="424">
        <v>0</v>
      </c>
      <c r="BF27" s="424">
        <v>0</v>
      </c>
      <c r="BG27" s="424">
        <v>0</v>
      </c>
      <c r="BH27" s="424">
        <v>0</v>
      </c>
      <c r="BI27" s="424">
        <v>0</v>
      </c>
      <c r="BJ27" s="424">
        <v>0</v>
      </c>
      <c r="BK27" s="424">
        <v>0</v>
      </c>
      <c r="BL27" s="424">
        <v>0</v>
      </c>
      <c r="BM27" s="424">
        <v>0</v>
      </c>
      <c r="BN27" s="424">
        <v>0</v>
      </c>
      <c r="BO27" s="424">
        <v>0</v>
      </c>
      <c r="BP27" s="424">
        <v>0</v>
      </c>
      <c r="BQ27" s="424">
        <v>0</v>
      </c>
      <c r="BR27" s="424">
        <v>0</v>
      </c>
      <c r="BS27" s="424">
        <v>0</v>
      </c>
      <c r="BT27" s="424">
        <v>0</v>
      </c>
      <c r="BU27" s="424">
        <v>0</v>
      </c>
    </row>
    <row r="28" spans="1:73" ht="15.95" customHeight="1">
      <c r="B28" s="2759" t="s">
        <v>726</v>
      </c>
      <c r="C28" s="2760"/>
      <c r="D28" s="428">
        <f>SUM(D29:D30)</f>
        <v>622177989</v>
      </c>
      <c r="E28" s="429">
        <v>634783060</v>
      </c>
      <c r="F28" s="93"/>
      <c r="G28" s="91"/>
      <c r="H28" s="91"/>
      <c r="I28" s="429">
        <v>632288343</v>
      </c>
      <c r="J28" s="429">
        <v>642320693</v>
      </c>
      <c r="K28" s="429">
        <v>645718580</v>
      </c>
      <c r="L28" s="429">
        <v>634783060</v>
      </c>
      <c r="M28" s="429">
        <v>646422347</v>
      </c>
      <c r="N28" s="429">
        <v>655173775</v>
      </c>
      <c r="O28" s="429">
        <v>639857650</v>
      </c>
      <c r="P28" s="429">
        <v>651164069</v>
      </c>
      <c r="Q28" s="429">
        <v>661030989</v>
      </c>
      <c r="R28" s="429">
        <v>672658007</v>
      </c>
      <c r="S28" s="429">
        <v>684068222</v>
      </c>
      <c r="T28" s="429">
        <v>690256424</v>
      </c>
      <c r="U28" s="429">
        <v>695931756</v>
      </c>
      <c r="V28" s="429">
        <v>705284511</v>
      </c>
      <c r="W28" s="429">
        <v>694712271</v>
      </c>
      <c r="X28" s="429">
        <v>683798709</v>
      </c>
      <c r="Y28" s="429">
        <v>681099991</v>
      </c>
      <c r="Z28" s="429">
        <v>687447381</v>
      </c>
      <c r="AA28" s="429">
        <v>699355661</v>
      </c>
      <c r="AB28" s="429">
        <v>711654518</v>
      </c>
      <c r="AC28" s="429">
        <v>724142723</v>
      </c>
      <c r="AD28" s="429">
        <v>736421849</v>
      </c>
      <c r="AE28" s="429">
        <v>749012669</v>
      </c>
      <c r="AF28" s="429">
        <v>762023186</v>
      </c>
      <c r="AG28" s="429">
        <v>772275188</v>
      </c>
      <c r="AH28" s="429">
        <v>784761313</v>
      </c>
      <c r="AI28" s="429">
        <v>797712333</v>
      </c>
      <c r="AJ28" s="429">
        <v>779970625</v>
      </c>
      <c r="AK28" s="429">
        <v>792447544</v>
      </c>
      <c r="AL28" s="429">
        <v>803717017</v>
      </c>
      <c r="AM28" s="429">
        <v>806431206</v>
      </c>
      <c r="AN28" s="429">
        <v>818716419</v>
      </c>
      <c r="AO28" s="429">
        <v>821348165</v>
      </c>
      <c r="AP28" s="429">
        <v>833115932</v>
      </c>
      <c r="AQ28" s="429">
        <v>772812824</v>
      </c>
      <c r="AR28" s="429">
        <v>777001699</v>
      </c>
      <c r="AS28" s="429">
        <v>781809162</v>
      </c>
      <c r="AT28" s="429">
        <v>791897527</v>
      </c>
      <c r="AU28" s="429">
        <v>770388087</v>
      </c>
      <c r="AV28" s="429">
        <v>750894515</v>
      </c>
      <c r="AW28" s="429">
        <v>696940870</v>
      </c>
      <c r="AX28" s="429">
        <v>700896473</v>
      </c>
      <c r="AY28" s="429">
        <v>709658073</v>
      </c>
      <c r="AZ28" s="429">
        <v>703796379</v>
      </c>
      <c r="BA28" s="429">
        <v>700365156</v>
      </c>
      <c r="BB28" s="429">
        <v>699348737</v>
      </c>
      <c r="BC28" s="429">
        <v>706868602</v>
      </c>
      <c r="BD28" s="429">
        <v>712143627</v>
      </c>
      <c r="BE28" s="429">
        <v>710152073</v>
      </c>
      <c r="BF28" s="429">
        <v>690283186</v>
      </c>
      <c r="BG28" s="429">
        <v>679006666</v>
      </c>
      <c r="BH28" s="429">
        <v>677984980</v>
      </c>
      <c r="BI28" s="429">
        <v>685199722</v>
      </c>
      <c r="BJ28" s="429">
        <v>692029730</v>
      </c>
      <c r="BK28" s="429">
        <v>699591522</v>
      </c>
      <c r="BL28" s="429">
        <v>630674523</v>
      </c>
      <c r="BM28" s="429">
        <v>637086200</v>
      </c>
      <c r="BN28" s="429">
        <v>644261393</v>
      </c>
      <c r="BO28" s="429">
        <v>650412857</v>
      </c>
      <c r="BP28" s="429">
        <v>619279775</v>
      </c>
      <c r="BQ28" s="429">
        <v>599864497</v>
      </c>
      <c r="BR28" s="429">
        <v>602842266</v>
      </c>
      <c r="BS28" s="429">
        <v>605956282</v>
      </c>
      <c r="BT28" s="429">
        <v>584375078</v>
      </c>
      <c r="BU28" s="429">
        <v>502697935</v>
      </c>
    </row>
    <row r="29" spans="1:73" ht="15.95" customHeight="1">
      <c r="B29" s="1878" t="s">
        <v>727</v>
      </c>
      <c r="C29" s="1879" t="s">
        <v>728</v>
      </c>
      <c r="D29" s="428">
        <v>481727000</v>
      </c>
      <c r="E29" s="429">
        <v>481727000</v>
      </c>
      <c r="F29" s="93"/>
      <c r="G29" s="91"/>
      <c r="H29" s="91"/>
      <c r="I29" s="429">
        <v>481727000</v>
      </c>
      <c r="J29" s="429">
        <v>481727000</v>
      </c>
      <c r="K29" s="429">
        <v>481727000</v>
      </c>
      <c r="L29" s="429">
        <v>481727000</v>
      </c>
      <c r="M29" s="429">
        <v>481727000</v>
      </c>
      <c r="N29" s="429">
        <v>481727000</v>
      </c>
      <c r="O29" s="429">
        <v>481727000</v>
      </c>
      <c r="P29" s="429">
        <v>481727000</v>
      </c>
      <c r="Q29" s="429">
        <v>481727000</v>
      </c>
      <c r="R29" s="429">
        <v>481727000</v>
      </c>
      <c r="S29" s="429">
        <v>481727000</v>
      </c>
      <c r="T29" s="429">
        <v>481727000</v>
      </c>
      <c r="U29" s="429">
        <v>481727000</v>
      </c>
      <c r="V29" s="429">
        <v>481727000</v>
      </c>
      <c r="W29" s="429">
        <v>481727000</v>
      </c>
      <c r="X29" s="429">
        <v>481727000</v>
      </c>
      <c r="Y29" s="429">
        <v>481727000</v>
      </c>
      <c r="Z29" s="429">
        <v>481727000</v>
      </c>
      <c r="AA29" s="429">
        <v>481727000</v>
      </c>
      <c r="AB29" s="429">
        <v>481727000</v>
      </c>
      <c r="AC29" s="429">
        <v>481727000</v>
      </c>
      <c r="AD29" s="429">
        <v>481727000</v>
      </c>
      <c r="AE29" s="429">
        <v>481727000</v>
      </c>
      <c r="AF29" s="429">
        <v>481727000</v>
      </c>
      <c r="AG29" s="429">
        <v>481727000</v>
      </c>
      <c r="AH29" s="429">
        <v>481727000</v>
      </c>
      <c r="AI29" s="429">
        <v>481727000</v>
      </c>
      <c r="AJ29" s="429">
        <v>481727000</v>
      </c>
      <c r="AK29" s="429">
        <v>481727000</v>
      </c>
      <c r="AL29" s="429">
        <v>481727000</v>
      </c>
      <c r="AM29" s="429">
        <v>481727000</v>
      </c>
      <c r="AN29" s="429">
        <v>481727000</v>
      </c>
      <c r="AO29" s="429">
        <v>481727000</v>
      </c>
      <c r="AP29" s="429">
        <v>481727000</v>
      </c>
      <c r="AQ29" s="429">
        <v>481727000</v>
      </c>
      <c r="AR29" s="429">
        <v>481727000</v>
      </c>
      <c r="AS29" s="429">
        <v>481727000</v>
      </c>
      <c r="AT29" s="429">
        <v>481727000</v>
      </c>
      <c r="AU29" s="429">
        <v>481727000</v>
      </c>
      <c r="AV29" s="429">
        <v>481727000</v>
      </c>
      <c r="AW29" s="429">
        <v>481727000</v>
      </c>
      <c r="AX29" s="429">
        <v>481727000</v>
      </c>
      <c r="AY29" s="429">
        <v>481727000</v>
      </c>
      <c r="AZ29" s="429">
        <v>481727000</v>
      </c>
      <c r="BA29" s="429">
        <v>481727000</v>
      </c>
      <c r="BB29" s="429">
        <v>481727000</v>
      </c>
      <c r="BC29" s="429">
        <v>481727000</v>
      </c>
      <c r="BD29" s="429">
        <v>481727000</v>
      </c>
      <c r="BE29" s="429">
        <v>481727000</v>
      </c>
      <c r="BF29" s="429">
        <v>481727000</v>
      </c>
      <c r="BG29" s="429">
        <v>481727000</v>
      </c>
      <c r="BH29" s="429">
        <v>481727000</v>
      </c>
      <c r="BI29" s="429">
        <v>481727000</v>
      </c>
      <c r="BJ29" s="429">
        <v>481727000</v>
      </c>
      <c r="BK29" s="429">
        <v>481727000</v>
      </c>
      <c r="BL29" s="429">
        <v>481727000</v>
      </c>
      <c r="BM29" s="429">
        <v>481727000</v>
      </c>
      <c r="BN29" s="429">
        <v>481727000</v>
      </c>
      <c r="BO29" s="429">
        <v>481727000</v>
      </c>
      <c r="BP29" s="429">
        <v>481727000</v>
      </c>
      <c r="BQ29" s="429">
        <v>481727000</v>
      </c>
      <c r="BR29" s="429">
        <v>481727000</v>
      </c>
      <c r="BS29" s="429">
        <v>481727000</v>
      </c>
      <c r="BT29" s="429">
        <v>481727000</v>
      </c>
      <c r="BU29" s="429">
        <v>481727000</v>
      </c>
    </row>
    <row r="30" spans="1:73" ht="15.95" customHeight="1">
      <c r="B30" s="1880" t="s">
        <v>709</v>
      </c>
      <c r="C30" s="1881" t="s">
        <v>729</v>
      </c>
      <c r="D30" s="430">
        <v>140450989</v>
      </c>
      <c r="E30" s="431">
        <v>153056060</v>
      </c>
      <c r="F30" s="93"/>
      <c r="G30" s="91"/>
      <c r="H30" s="91"/>
      <c r="I30" s="429">
        <v>150561343</v>
      </c>
      <c r="J30" s="429">
        <v>160593693</v>
      </c>
      <c r="K30" s="429">
        <v>163991580</v>
      </c>
      <c r="L30" s="429">
        <v>153056060</v>
      </c>
      <c r="M30" s="429">
        <v>164695347</v>
      </c>
      <c r="N30" s="429">
        <v>173446775</v>
      </c>
      <c r="O30" s="429">
        <v>158130650</v>
      </c>
      <c r="P30" s="429">
        <v>169437069</v>
      </c>
      <c r="Q30" s="429">
        <v>179303989</v>
      </c>
      <c r="R30" s="429">
        <v>190931007</v>
      </c>
      <c r="S30" s="429">
        <v>202341222</v>
      </c>
      <c r="T30" s="429">
        <v>208529424</v>
      </c>
      <c r="U30" s="429">
        <v>214204756</v>
      </c>
      <c r="V30" s="429">
        <v>223557511</v>
      </c>
      <c r="W30" s="429">
        <v>212985271</v>
      </c>
      <c r="X30" s="429">
        <v>202071709</v>
      </c>
      <c r="Y30" s="429">
        <v>199372991</v>
      </c>
      <c r="Z30" s="429">
        <v>205720381</v>
      </c>
      <c r="AA30" s="429">
        <v>217628661</v>
      </c>
      <c r="AB30" s="429">
        <v>229927518</v>
      </c>
      <c r="AC30" s="429">
        <v>242415723</v>
      </c>
      <c r="AD30" s="429">
        <v>254694849</v>
      </c>
      <c r="AE30" s="429">
        <v>267285669</v>
      </c>
      <c r="AF30" s="429">
        <v>280296186</v>
      </c>
      <c r="AG30" s="429">
        <v>290548188</v>
      </c>
      <c r="AH30" s="429">
        <v>303034313</v>
      </c>
      <c r="AI30" s="429">
        <v>315985333</v>
      </c>
      <c r="AJ30" s="429">
        <v>298243625</v>
      </c>
      <c r="AK30" s="429">
        <v>310720544</v>
      </c>
      <c r="AL30" s="429">
        <v>321990017</v>
      </c>
      <c r="AM30" s="429">
        <v>324704206</v>
      </c>
      <c r="AN30" s="429">
        <v>336989419</v>
      </c>
      <c r="AO30" s="429">
        <v>339621165</v>
      </c>
      <c r="AP30" s="429">
        <v>351388932</v>
      </c>
      <c r="AQ30" s="429">
        <v>291085824</v>
      </c>
      <c r="AR30" s="429">
        <v>295274699</v>
      </c>
      <c r="AS30" s="429">
        <v>300082162</v>
      </c>
      <c r="AT30" s="429">
        <v>310170527</v>
      </c>
      <c r="AU30" s="429">
        <v>288661087</v>
      </c>
      <c r="AV30" s="429">
        <v>269167515</v>
      </c>
      <c r="AW30" s="429">
        <v>215213870</v>
      </c>
      <c r="AX30" s="429">
        <v>219169473</v>
      </c>
      <c r="AY30" s="429">
        <v>227931073</v>
      </c>
      <c r="AZ30" s="429">
        <v>222069379</v>
      </c>
      <c r="BA30" s="429">
        <v>218638156</v>
      </c>
      <c r="BB30" s="429">
        <v>217621737</v>
      </c>
      <c r="BC30" s="429">
        <v>225141602</v>
      </c>
      <c r="BD30" s="429">
        <v>230416627</v>
      </c>
      <c r="BE30" s="429">
        <v>228425073</v>
      </c>
      <c r="BF30" s="429">
        <v>208556186</v>
      </c>
      <c r="BG30" s="429">
        <v>197279666</v>
      </c>
      <c r="BH30" s="429">
        <v>196257980</v>
      </c>
      <c r="BI30" s="429">
        <v>203472722</v>
      </c>
      <c r="BJ30" s="429">
        <v>210302730</v>
      </c>
      <c r="BK30" s="429">
        <v>217864522</v>
      </c>
      <c r="BL30" s="429">
        <v>148947523</v>
      </c>
      <c r="BM30" s="429">
        <v>155359200</v>
      </c>
      <c r="BN30" s="429">
        <v>162534393</v>
      </c>
      <c r="BO30" s="429">
        <v>168685857</v>
      </c>
      <c r="BP30" s="429">
        <v>137552775</v>
      </c>
      <c r="BQ30" s="429">
        <v>118137497</v>
      </c>
      <c r="BR30" s="429">
        <v>121115266</v>
      </c>
      <c r="BS30" s="429">
        <v>124229282</v>
      </c>
      <c r="BT30" s="429">
        <v>102648078</v>
      </c>
      <c r="BU30" s="429">
        <v>20970935</v>
      </c>
    </row>
    <row r="31" spans="1:73" ht="15.95" customHeight="1">
      <c r="B31" s="2757" t="s">
        <v>730</v>
      </c>
      <c r="C31" s="2758"/>
      <c r="D31" s="901">
        <f>SUM(D9,D20)</f>
        <v>405840891161.38708</v>
      </c>
      <c r="E31" s="902">
        <v>409066722871.38708</v>
      </c>
      <c r="F31" s="90"/>
      <c r="G31" s="91"/>
      <c r="H31" s="91"/>
      <c r="I31" s="902">
        <v>405051799316.38708</v>
      </c>
      <c r="J31" s="902">
        <v>411362962940.38708</v>
      </c>
      <c r="K31" s="902">
        <v>410113844249.38708</v>
      </c>
      <c r="L31" s="902">
        <v>409066722871.38708</v>
      </c>
      <c r="M31" s="902">
        <v>409523965509.38708</v>
      </c>
      <c r="N31" s="902">
        <v>408384051722.38708</v>
      </c>
      <c r="O31" s="902">
        <v>407309268243.38708</v>
      </c>
      <c r="P31" s="902">
        <v>412649394495.38708</v>
      </c>
      <c r="Q31" s="902">
        <v>411232832893.38708</v>
      </c>
      <c r="R31" s="902">
        <v>410800409734.38708</v>
      </c>
      <c r="S31" s="902">
        <v>411564738452.38708</v>
      </c>
      <c r="T31" s="902">
        <v>410393071620.38708</v>
      </c>
      <c r="U31" s="902">
        <v>409538928305.38708</v>
      </c>
      <c r="V31" s="902">
        <v>415795413733.5871</v>
      </c>
      <c r="W31" s="902">
        <v>414583931017.5871</v>
      </c>
      <c r="X31" s="902">
        <v>413970485818.38708</v>
      </c>
      <c r="Y31" s="902">
        <v>415145463989.38708</v>
      </c>
      <c r="Z31" s="902">
        <v>413875907872.38708</v>
      </c>
      <c r="AA31" s="902">
        <v>412866274278.38708</v>
      </c>
      <c r="AB31" s="902">
        <v>418114104593</v>
      </c>
      <c r="AC31" s="902">
        <v>416787261711</v>
      </c>
      <c r="AD31" s="902">
        <v>416231277761</v>
      </c>
      <c r="AE31" s="902">
        <v>416957228595</v>
      </c>
      <c r="AF31" s="902">
        <v>415745611894</v>
      </c>
      <c r="AG31" s="902">
        <v>415069380986</v>
      </c>
      <c r="AH31" s="902">
        <v>420893121867</v>
      </c>
      <c r="AI31" s="902">
        <v>419792101486</v>
      </c>
      <c r="AJ31" s="902">
        <v>419217494049.92657</v>
      </c>
      <c r="AK31" s="902">
        <v>421093022731.35516</v>
      </c>
      <c r="AL31" s="902">
        <v>419874865121.35516</v>
      </c>
      <c r="AM31" s="902">
        <v>418597475444.35516</v>
      </c>
      <c r="AN31" s="902">
        <v>420413360182.35516</v>
      </c>
      <c r="AO31" s="902">
        <v>419254859577.35516</v>
      </c>
      <c r="AP31" s="902">
        <v>418102284156</v>
      </c>
      <c r="AQ31" s="902">
        <v>319500241297</v>
      </c>
      <c r="AR31" s="902">
        <v>320382306439</v>
      </c>
      <c r="AS31" s="902">
        <v>319620583228</v>
      </c>
      <c r="AT31" s="902">
        <v>322876998754</v>
      </c>
      <c r="AU31" s="902">
        <v>323718964444</v>
      </c>
      <c r="AV31" s="902">
        <v>322897379878</v>
      </c>
      <c r="AW31" s="902">
        <v>321783738160.51611</v>
      </c>
      <c r="AX31" s="902">
        <v>322579796149.51611</v>
      </c>
      <c r="AY31" s="902">
        <v>320719425621</v>
      </c>
      <c r="AZ31" s="902">
        <v>322634058766</v>
      </c>
      <c r="BA31" s="902">
        <v>323131616725</v>
      </c>
      <c r="BB31" s="902">
        <v>322661398575</v>
      </c>
      <c r="BC31" s="902">
        <v>321823920218</v>
      </c>
      <c r="BD31" s="902">
        <v>322559886738</v>
      </c>
      <c r="BE31" s="902">
        <v>321993059337.66669</v>
      </c>
      <c r="BF31" s="902">
        <v>324932045463</v>
      </c>
      <c r="BG31" s="902">
        <v>325673224312</v>
      </c>
      <c r="BH31" s="902">
        <v>325202888354</v>
      </c>
      <c r="BI31" s="902">
        <v>323967939097</v>
      </c>
      <c r="BJ31" s="902">
        <v>324555334101</v>
      </c>
      <c r="BK31" s="902">
        <v>324061642290</v>
      </c>
      <c r="BL31" s="902">
        <v>326485962814</v>
      </c>
      <c r="BM31" s="902">
        <v>327481177167</v>
      </c>
      <c r="BN31" s="902">
        <v>327096539263.33331</v>
      </c>
      <c r="BO31" s="902">
        <v>325936823667.33331</v>
      </c>
      <c r="BP31" s="902">
        <v>326197645997.33331</v>
      </c>
      <c r="BQ31" s="902">
        <v>325371339052.33331</v>
      </c>
      <c r="BR31" s="902">
        <v>326903305995.33331</v>
      </c>
      <c r="BS31" s="902">
        <v>327698464470</v>
      </c>
      <c r="BT31" s="902">
        <v>327292310028</v>
      </c>
      <c r="BU31" s="902">
        <v>329118563926</v>
      </c>
    </row>
    <row r="32" spans="1:73" ht="15.95" customHeight="1">
      <c r="B32" s="2763" t="s">
        <v>731</v>
      </c>
      <c r="C32" s="2764"/>
      <c r="D32" s="963"/>
      <c r="E32" s="1882"/>
      <c r="F32" s="91"/>
      <c r="G32" s="91"/>
      <c r="H32" s="91"/>
      <c r="I32" s="1882"/>
      <c r="J32" s="1882"/>
      <c r="K32" s="1882"/>
      <c r="L32" s="1882"/>
      <c r="M32" s="1882"/>
      <c r="N32" s="1882"/>
      <c r="O32" s="1882"/>
      <c r="P32" s="1882"/>
      <c r="Q32" s="1882"/>
      <c r="R32" s="1882"/>
      <c r="S32" s="1882"/>
      <c r="T32" s="1882"/>
      <c r="U32" s="1882"/>
      <c r="V32" s="1882"/>
      <c r="W32" s="1882"/>
      <c r="X32" s="1882"/>
      <c r="Y32" s="1882"/>
      <c r="Z32" s="1882"/>
      <c r="AA32" s="1882"/>
      <c r="AB32" s="1882"/>
      <c r="AC32" s="1882"/>
      <c r="AD32" s="1882"/>
      <c r="AE32" s="1882"/>
      <c r="AF32" s="1882"/>
      <c r="AG32" s="1882"/>
      <c r="AH32" s="1882"/>
      <c r="AI32" s="1882"/>
      <c r="AJ32" s="1882"/>
      <c r="AK32" s="1882"/>
      <c r="AL32" s="1882"/>
      <c r="AM32" s="1882"/>
      <c r="AN32" s="1882"/>
      <c r="AO32" s="1882"/>
      <c r="AP32" s="1882"/>
      <c r="AQ32" s="1882"/>
      <c r="AR32" s="1882"/>
      <c r="AS32" s="1882"/>
      <c r="AT32" s="1882"/>
      <c r="AU32" s="1882"/>
      <c r="AV32" s="1882"/>
      <c r="AW32" s="1882"/>
      <c r="AX32" s="1882"/>
      <c r="AY32" s="1882"/>
      <c r="AZ32" s="1882"/>
      <c r="BA32" s="1882"/>
      <c r="BB32" s="1882"/>
      <c r="BC32" s="1882"/>
      <c r="BD32" s="1882"/>
      <c r="BE32" s="1882"/>
      <c r="BF32" s="1882"/>
      <c r="BG32" s="1882"/>
      <c r="BH32" s="1882"/>
      <c r="BI32" s="1882"/>
      <c r="BJ32" s="1882"/>
      <c r="BK32" s="1882"/>
      <c r="BL32" s="1882"/>
      <c r="BM32" s="1882"/>
      <c r="BN32" s="1882"/>
      <c r="BO32" s="1882"/>
      <c r="BP32" s="1882"/>
      <c r="BQ32" s="1882"/>
      <c r="BR32" s="1882"/>
      <c r="BS32" s="1882"/>
      <c r="BT32" s="1882"/>
      <c r="BU32" s="1882"/>
    </row>
    <row r="33" spans="2:73" ht="15.95" customHeight="1">
      <c r="B33" s="2761" t="s">
        <v>732</v>
      </c>
      <c r="C33" s="2762"/>
      <c r="D33" s="421">
        <f>SUM(D34:D35,D45:D49)</f>
        <v>2074093450</v>
      </c>
      <c r="E33" s="422">
        <v>2019390041</v>
      </c>
      <c r="F33" s="90"/>
      <c r="G33" s="91"/>
      <c r="H33" s="91"/>
      <c r="I33" s="422">
        <v>1917286043</v>
      </c>
      <c r="J33" s="422">
        <v>3405006046</v>
      </c>
      <c r="K33" s="422">
        <v>2445445036</v>
      </c>
      <c r="L33" s="422">
        <v>2019390041</v>
      </c>
      <c r="M33" s="422">
        <v>2827350005</v>
      </c>
      <c r="N33" s="422">
        <v>2036313113</v>
      </c>
      <c r="O33" s="422">
        <v>1525579522</v>
      </c>
      <c r="P33" s="422">
        <v>2698607698</v>
      </c>
      <c r="Q33" s="422">
        <v>1865865186</v>
      </c>
      <c r="R33" s="422">
        <v>1730582269</v>
      </c>
      <c r="S33" s="422">
        <v>3098876587</v>
      </c>
      <c r="T33" s="422">
        <v>2300794729</v>
      </c>
      <c r="U33" s="422">
        <v>1826595285</v>
      </c>
      <c r="V33" s="422">
        <v>3098085496</v>
      </c>
      <c r="W33" s="422">
        <v>2116969124</v>
      </c>
      <c r="X33" s="422">
        <v>2014658138</v>
      </c>
      <c r="Y33" s="422">
        <v>2821451057</v>
      </c>
      <c r="Z33" s="422">
        <v>1988553767</v>
      </c>
      <c r="AA33" s="422">
        <v>1525865195</v>
      </c>
      <c r="AB33" s="422">
        <v>2605416307</v>
      </c>
      <c r="AC33" s="422">
        <v>1723078289</v>
      </c>
      <c r="AD33" s="422">
        <v>1599302295</v>
      </c>
      <c r="AE33" s="422">
        <v>2990328508</v>
      </c>
      <c r="AF33" s="422">
        <v>2078360488</v>
      </c>
      <c r="AG33" s="422">
        <v>1748758674</v>
      </c>
      <c r="AH33" s="422">
        <v>2933733032</v>
      </c>
      <c r="AI33" s="422">
        <v>2033590117</v>
      </c>
      <c r="AJ33" s="422">
        <v>1780833567</v>
      </c>
      <c r="AK33" s="422">
        <v>2736531126</v>
      </c>
      <c r="AL33" s="422">
        <v>1949875803</v>
      </c>
      <c r="AM33" s="422">
        <v>1226146071</v>
      </c>
      <c r="AN33" s="422">
        <v>2940079366</v>
      </c>
      <c r="AO33" s="422">
        <v>2032058996</v>
      </c>
      <c r="AP33" s="422">
        <v>1335803001</v>
      </c>
      <c r="AQ33" s="422">
        <v>2957795108</v>
      </c>
      <c r="AR33" s="422">
        <v>4153989733</v>
      </c>
      <c r="AS33" s="422">
        <v>3627671389</v>
      </c>
      <c r="AT33" s="422">
        <v>3400385843</v>
      </c>
      <c r="AU33" s="422">
        <v>4299256145</v>
      </c>
      <c r="AV33" s="422">
        <v>3760669619</v>
      </c>
      <c r="AW33" s="422">
        <v>1881842830</v>
      </c>
      <c r="AX33" s="422">
        <v>2775723149</v>
      </c>
      <c r="AY33" s="422">
        <v>2485794541</v>
      </c>
      <c r="AZ33" s="422">
        <v>1681529926</v>
      </c>
      <c r="BA33" s="422">
        <v>2531934118</v>
      </c>
      <c r="BB33" s="422">
        <v>2431058678</v>
      </c>
      <c r="BC33" s="422">
        <v>1774677098</v>
      </c>
      <c r="BD33" s="422">
        <v>2898510637</v>
      </c>
      <c r="BE33" s="422">
        <v>2678337564.333333</v>
      </c>
      <c r="BF33" s="422">
        <v>1810518687</v>
      </c>
      <c r="BG33" s="422">
        <v>2671212410</v>
      </c>
      <c r="BH33" s="422">
        <v>2426622047</v>
      </c>
      <c r="BI33" s="422">
        <v>1595239325</v>
      </c>
      <c r="BJ33" s="422">
        <v>2561281996</v>
      </c>
      <c r="BK33" s="422">
        <v>2721063441</v>
      </c>
      <c r="BL33" s="422">
        <v>1651442538</v>
      </c>
      <c r="BM33" s="422">
        <v>2713928143</v>
      </c>
      <c r="BN33" s="422">
        <v>2843735289</v>
      </c>
      <c r="BO33" s="422">
        <v>2243790270</v>
      </c>
      <c r="BP33" s="422">
        <v>2963978773</v>
      </c>
      <c r="BQ33" s="422">
        <v>2631301718</v>
      </c>
      <c r="BR33" s="422">
        <v>1784657363</v>
      </c>
      <c r="BS33" s="422">
        <v>2610789559</v>
      </c>
      <c r="BT33" s="422">
        <v>2371336466</v>
      </c>
      <c r="BU33" s="422">
        <v>2387577531</v>
      </c>
    </row>
    <row r="34" spans="2:73" ht="15.95" customHeight="1">
      <c r="B34" s="1872" t="s">
        <v>707</v>
      </c>
      <c r="C34" s="1874" t="s">
        <v>733</v>
      </c>
      <c r="D34" s="425">
        <v>25851540</v>
      </c>
      <c r="E34" s="426">
        <v>319250000</v>
      </c>
      <c r="F34" s="91"/>
      <c r="G34" s="91"/>
      <c r="H34" s="91"/>
      <c r="I34" s="424">
        <v>25851540</v>
      </c>
      <c r="J34" s="424">
        <v>325851540</v>
      </c>
      <c r="K34" s="424">
        <v>301100000</v>
      </c>
      <c r="L34" s="424">
        <v>319250000</v>
      </c>
      <c r="M34" s="424">
        <v>0</v>
      </c>
      <c r="N34" s="424">
        <v>0</v>
      </c>
      <c r="O34" s="424">
        <v>15687254</v>
      </c>
      <c r="P34" s="424">
        <v>0</v>
      </c>
      <c r="Q34" s="424">
        <v>0</v>
      </c>
      <c r="R34" s="424">
        <v>19250000</v>
      </c>
      <c r="S34" s="424">
        <v>0</v>
      </c>
      <c r="T34" s="424">
        <v>15691390</v>
      </c>
      <c r="U34" s="424">
        <v>0</v>
      </c>
      <c r="V34" s="424">
        <v>0</v>
      </c>
      <c r="W34" s="424">
        <v>0</v>
      </c>
      <c r="X34" s="424">
        <v>19250000</v>
      </c>
      <c r="Y34" s="424">
        <v>0</v>
      </c>
      <c r="Z34" s="424">
        <v>15624972</v>
      </c>
      <c r="AA34" s="424">
        <v>15624972</v>
      </c>
      <c r="AB34" s="424">
        <v>0</v>
      </c>
      <c r="AC34" s="424">
        <v>0</v>
      </c>
      <c r="AD34" s="424">
        <v>19250000</v>
      </c>
      <c r="AE34" s="424">
        <v>0</v>
      </c>
      <c r="AF34" s="424">
        <v>0</v>
      </c>
      <c r="AG34" s="424">
        <v>17908396</v>
      </c>
      <c r="AH34" s="424">
        <v>2200000</v>
      </c>
      <c r="AI34" s="424">
        <v>2200000</v>
      </c>
      <c r="AJ34" s="424">
        <v>240350038</v>
      </c>
      <c r="AK34" s="424">
        <v>1100000</v>
      </c>
      <c r="AL34" s="424">
        <v>35122253</v>
      </c>
      <c r="AM34" s="424">
        <v>16788926</v>
      </c>
      <c r="AN34" s="424">
        <v>1100000</v>
      </c>
      <c r="AO34" s="424">
        <v>18333327</v>
      </c>
      <c r="AP34" s="424">
        <v>94541089</v>
      </c>
      <c r="AQ34" s="424">
        <v>1100000</v>
      </c>
      <c r="AR34" s="424">
        <v>1100000</v>
      </c>
      <c r="AS34" s="424">
        <v>154140712</v>
      </c>
      <c r="AT34" s="424">
        <v>1100000</v>
      </c>
      <c r="AU34" s="424">
        <v>1100000</v>
      </c>
      <c r="AV34" s="424">
        <v>173250000</v>
      </c>
      <c r="AW34" s="424">
        <v>0</v>
      </c>
      <c r="AX34" s="424">
        <v>4400000</v>
      </c>
      <c r="AY34" s="424">
        <v>141900000</v>
      </c>
      <c r="AZ34" s="424">
        <v>6408875</v>
      </c>
      <c r="BA34" s="424">
        <v>12937320</v>
      </c>
      <c r="BB34" s="424">
        <v>173250000</v>
      </c>
      <c r="BC34" s="424">
        <v>0</v>
      </c>
      <c r="BD34" s="424">
        <v>0</v>
      </c>
      <c r="BE34" s="424">
        <v>153364552</v>
      </c>
      <c r="BF34" s="424">
        <v>0</v>
      </c>
      <c r="BG34" s="424">
        <v>0</v>
      </c>
      <c r="BH34" s="424">
        <v>173250000</v>
      </c>
      <c r="BI34" s="424">
        <v>0</v>
      </c>
      <c r="BJ34" s="424">
        <v>0</v>
      </c>
      <c r="BK34" s="424">
        <v>153127172</v>
      </c>
      <c r="BL34" s="424">
        <v>0</v>
      </c>
      <c r="BM34" s="424">
        <v>0</v>
      </c>
      <c r="BN34" s="424">
        <v>173250000</v>
      </c>
      <c r="BO34" s="424">
        <v>0</v>
      </c>
      <c r="BP34" s="424">
        <v>0</v>
      </c>
      <c r="BQ34" s="424">
        <v>0</v>
      </c>
      <c r="BR34" s="424">
        <v>0</v>
      </c>
      <c r="BS34" s="424">
        <v>0</v>
      </c>
      <c r="BT34" s="424">
        <v>0</v>
      </c>
      <c r="BU34" s="424">
        <v>0</v>
      </c>
    </row>
    <row r="35" spans="2:73" ht="15.75" customHeight="1">
      <c r="B35" s="1872" t="s">
        <v>709</v>
      </c>
      <c r="C35" s="1883" t="s">
        <v>734</v>
      </c>
      <c r="D35" s="432">
        <f>SUM(D36:D44)</f>
        <v>1822332045</v>
      </c>
      <c r="E35" s="433">
        <v>1188044272</v>
      </c>
      <c r="F35" s="206"/>
      <c r="G35" s="91"/>
      <c r="H35" s="91"/>
      <c r="I35" s="424">
        <v>1434943598</v>
      </c>
      <c r="J35" s="424">
        <v>2646896148</v>
      </c>
      <c r="K35" s="424">
        <v>1912245221</v>
      </c>
      <c r="L35" s="424">
        <v>1188044272</v>
      </c>
      <c r="M35" s="424">
        <v>2394061414</v>
      </c>
      <c r="N35" s="424">
        <v>1802227291</v>
      </c>
      <c r="O35" s="424">
        <v>1015827004</v>
      </c>
      <c r="P35" s="424">
        <v>2266739541</v>
      </c>
      <c r="Q35" s="424">
        <v>1558633501</v>
      </c>
      <c r="R35" s="424">
        <v>1212065038</v>
      </c>
      <c r="S35" s="424">
        <v>2665574701</v>
      </c>
      <c r="T35" s="424">
        <v>1968065495</v>
      </c>
      <c r="U35" s="424">
        <v>1429778085</v>
      </c>
      <c r="V35" s="424">
        <v>2687993156</v>
      </c>
      <c r="W35" s="424">
        <v>1901546883</v>
      </c>
      <c r="X35" s="424">
        <v>1497837612</v>
      </c>
      <c r="Y35" s="424">
        <v>2384559625</v>
      </c>
      <c r="Z35" s="424">
        <v>1744902232</v>
      </c>
      <c r="AA35" s="424">
        <v>1022701191</v>
      </c>
      <c r="AB35" s="424">
        <v>2193660138</v>
      </c>
      <c r="AC35" s="424">
        <v>1515577066</v>
      </c>
      <c r="AD35" s="424">
        <v>1095379039</v>
      </c>
      <c r="AE35" s="424">
        <v>2579745088</v>
      </c>
      <c r="AF35" s="424">
        <v>1871367085</v>
      </c>
      <c r="AG35" s="424">
        <v>1310409802</v>
      </c>
      <c r="AH35" s="424">
        <v>2543538795</v>
      </c>
      <c r="AI35" s="424">
        <v>1827761712</v>
      </c>
      <c r="AJ35" s="424">
        <v>1081400523</v>
      </c>
      <c r="AK35" s="424">
        <v>2319942534</v>
      </c>
      <c r="AL35" s="424">
        <v>1700484128</v>
      </c>
      <c r="AM35" s="424">
        <v>951118622</v>
      </c>
      <c r="AN35" s="424">
        <v>2178128812</v>
      </c>
      <c r="AO35" s="424">
        <v>1631352093</v>
      </c>
      <c r="AP35" s="424">
        <v>941301912</v>
      </c>
      <c r="AQ35" s="424">
        <v>1421905635</v>
      </c>
      <c r="AR35" s="424">
        <v>2918503425</v>
      </c>
      <c r="AS35" s="424">
        <v>2106007378</v>
      </c>
      <c r="AT35" s="424">
        <v>1458373311</v>
      </c>
      <c r="AU35" s="424">
        <v>2533190130</v>
      </c>
      <c r="AV35" s="424">
        <v>1900459563</v>
      </c>
      <c r="AW35" s="424">
        <v>1225031331</v>
      </c>
      <c r="AX35" s="424">
        <v>2554833643</v>
      </c>
      <c r="AY35" s="424">
        <v>1774880116</v>
      </c>
      <c r="AZ35" s="424">
        <v>1122278567</v>
      </c>
      <c r="BA35" s="424">
        <v>2253852087</v>
      </c>
      <c r="BB35" s="424">
        <v>1818342661</v>
      </c>
      <c r="BC35" s="424">
        <v>1402637684</v>
      </c>
      <c r="BD35" s="424">
        <v>2546399567</v>
      </c>
      <c r="BE35" s="424">
        <v>2092496562</v>
      </c>
      <c r="BF35" s="424">
        <v>1409655055</v>
      </c>
      <c r="BG35" s="424">
        <v>2491017335</v>
      </c>
      <c r="BH35" s="424">
        <v>1807026886</v>
      </c>
      <c r="BI35" s="424">
        <v>1206871933</v>
      </c>
      <c r="BJ35" s="424">
        <v>2363559589</v>
      </c>
      <c r="BK35" s="424">
        <v>1804793078</v>
      </c>
      <c r="BL35" s="424">
        <v>1073615214</v>
      </c>
      <c r="BM35" s="424">
        <v>2294584445</v>
      </c>
      <c r="BN35" s="424">
        <v>1827578917</v>
      </c>
      <c r="BO35" s="424">
        <v>1456206483</v>
      </c>
      <c r="BP35" s="424">
        <v>2596417296</v>
      </c>
      <c r="BQ35" s="424">
        <v>2263165457</v>
      </c>
      <c r="BR35" s="424">
        <v>1458213604</v>
      </c>
      <c r="BS35" s="424">
        <v>2444439649</v>
      </c>
      <c r="BT35" s="424">
        <v>2004539344</v>
      </c>
      <c r="BU35" s="424">
        <v>1965391696</v>
      </c>
    </row>
    <row r="36" spans="2:73" ht="15.95" customHeight="1">
      <c r="B36" s="1884"/>
      <c r="C36" s="1885" t="s">
        <v>198</v>
      </c>
      <c r="D36" s="434">
        <v>0</v>
      </c>
      <c r="E36" s="435">
        <v>0</v>
      </c>
      <c r="F36" s="91"/>
      <c r="G36" s="91"/>
      <c r="H36" s="91"/>
      <c r="I36" s="435">
        <v>0</v>
      </c>
      <c r="J36" s="435">
        <v>0</v>
      </c>
      <c r="K36" s="435">
        <v>0</v>
      </c>
      <c r="L36" s="435">
        <v>0</v>
      </c>
      <c r="M36" s="435">
        <v>0</v>
      </c>
      <c r="N36" s="435">
        <v>0</v>
      </c>
      <c r="O36" s="435">
        <v>0</v>
      </c>
      <c r="P36" s="435">
        <v>0</v>
      </c>
      <c r="Q36" s="435">
        <v>0</v>
      </c>
      <c r="R36" s="435">
        <v>0</v>
      </c>
      <c r="S36" s="435">
        <v>0</v>
      </c>
      <c r="T36" s="435">
        <v>0</v>
      </c>
      <c r="U36" s="435">
        <v>0</v>
      </c>
      <c r="V36" s="435">
        <v>0</v>
      </c>
      <c r="W36" s="435">
        <v>0</v>
      </c>
      <c r="X36" s="435">
        <v>0</v>
      </c>
      <c r="Y36" s="435">
        <v>0</v>
      </c>
      <c r="Z36" s="435">
        <v>0</v>
      </c>
      <c r="AA36" s="435">
        <v>0</v>
      </c>
      <c r="AB36" s="435">
        <v>0</v>
      </c>
      <c r="AC36" s="435">
        <v>0</v>
      </c>
      <c r="AD36" s="435">
        <v>0</v>
      </c>
      <c r="AE36" s="435">
        <v>0</v>
      </c>
      <c r="AF36" s="435">
        <v>0</v>
      </c>
      <c r="AG36" s="435">
        <v>0</v>
      </c>
      <c r="AH36" s="435">
        <v>0</v>
      </c>
      <c r="AI36" s="435">
        <v>0</v>
      </c>
      <c r="AJ36" s="435">
        <v>0</v>
      </c>
      <c r="AK36" s="435">
        <v>0</v>
      </c>
      <c r="AL36" s="435">
        <v>0</v>
      </c>
      <c r="AM36" s="435">
        <v>0</v>
      </c>
      <c r="AN36" s="435">
        <v>0</v>
      </c>
      <c r="AO36" s="435">
        <v>0</v>
      </c>
      <c r="AP36" s="435">
        <v>0</v>
      </c>
      <c r="AQ36" s="435">
        <v>83333332</v>
      </c>
      <c r="AR36" s="435">
        <v>41666666</v>
      </c>
      <c r="AS36" s="435">
        <v>0</v>
      </c>
      <c r="AT36" s="435">
        <v>83333334</v>
      </c>
      <c r="AU36" s="435">
        <v>41666668</v>
      </c>
      <c r="AV36" s="435">
        <v>0</v>
      </c>
      <c r="AW36" s="435">
        <v>83333332</v>
      </c>
      <c r="AX36" s="435">
        <v>41666666</v>
      </c>
      <c r="AY36" s="435">
        <v>0</v>
      </c>
      <c r="AZ36" s="435">
        <v>83333332</v>
      </c>
      <c r="BA36" s="435">
        <v>41666666</v>
      </c>
      <c r="BB36" s="435">
        <v>0</v>
      </c>
      <c r="BC36" s="435">
        <v>83333332</v>
      </c>
      <c r="BD36" s="435">
        <v>41666666</v>
      </c>
      <c r="BE36" s="435">
        <v>0</v>
      </c>
      <c r="BF36" s="435">
        <v>83333334</v>
      </c>
      <c r="BG36" s="435">
        <v>41666668</v>
      </c>
      <c r="BH36" s="435">
        <v>0</v>
      </c>
      <c r="BI36" s="435">
        <v>83333332</v>
      </c>
      <c r="BJ36" s="435">
        <v>41666666</v>
      </c>
      <c r="BK36" s="435">
        <v>0</v>
      </c>
      <c r="BL36" s="435">
        <v>83333332</v>
      </c>
      <c r="BM36" s="435">
        <v>41666666</v>
      </c>
      <c r="BN36" s="435">
        <v>0</v>
      </c>
      <c r="BO36" s="435">
        <v>83333332</v>
      </c>
      <c r="BP36" s="435">
        <v>41666666</v>
      </c>
      <c r="BQ36" s="435">
        <v>137500000</v>
      </c>
      <c r="BR36" s="435">
        <v>83333334</v>
      </c>
      <c r="BS36" s="435">
        <v>41666668</v>
      </c>
      <c r="BT36" s="435">
        <v>137500000</v>
      </c>
      <c r="BU36" s="435">
        <v>110000000</v>
      </c>
    </row>
    <row r="37" spans="2:73" ht="15.95" customHeight="1">
      <c r="B37" s="1884"/>
      <c r="C37" s="1885" t="s">
        <v>199</v>
      </c>
      <c r="D37" s="434">
        <v>22499999</v>
      </c>
      <c r="E37" s="435">
        <v>13500000</v>
      </c>
      <c r="F37" s="91"/>
      <c r="G37" s="91"/>
      <c r="H37" s="91"/>
      <c r="I37" s="435">
        <v>20250000</v>
      </c>
      <c r="J37" s="435">
        <v>17999998</v>
      </c>
      <c r="K37" s="435">
        <v>15749999</v>
      </c>
      <c r="L37" s="435">
        <v>13500000</v>
      </c>
      <c r="M37" s="435">
        <v>11249998</v>
      </c>
      <c r="N37" s="435">
        <v>8999999</v>
      </c>
      <c r="O37" s="435">
        <v>6750000</v>
      </c>
      <c r="P37" s="435">
        <v>16999998</v>
      </c>
      <c r="Q37" s="435">
        <v>14749999</v>
      </c>
      <c r="R37" s="435">
        <v>14500000</v>
      </c>
      <c r="S37" s="435">
        <v>12249998</v>
      </c>
      <c r="T37" s="435">
        <v>9999999</v>
      </c>
      <c r="U37" s="435">
        <v>7750000</v>
      </c>
      <c r="V37" s="435">
        <v>5499998</v>
      </c>
      <c r="W37" s="435">
        <v>15749999</v>
      </c>
      <c r="X37" s="435">
        <v>13500000</v>
      </c>
      <c r="Y37" s="435">
        <v>11249998</v>
      </c>
      <c r="Z37" s="435">
        <v>8999999</v>
      </c>
      <c r="AA37" s="435">
        <v>6750000</v>
      </c>
      <c r="AB37" s="435">
        <v>4499998</v>
      </c>
      <c r="AC37" s="435">
        <v>2249999</v>
      </c>
      <c r="AD37" s="435">
        <v>13500000</v>
      </c>
      <c r="AE37" s="435">
        <v>11249998</v>
      </c>
      <c r="AF37" s="435">
        <v>8999999</v>
      </c>
      <c r="AG37" s="435">
        <v>6750000</v>
      </c>
      <c r="AH37" s="435">
        <v>4499998</v>
      </c>
      <c r="AI37" s="435">
        <v>2249999</v>
      </c>
      <c r="AJ37" s="435">
        <v>7198631</v>
      </c>
      <c r="AK37" s="435">
        <v>4948629</v>
      </c>
      <c r="AL37" s="435">
        <v>2749998</v>
      </c>
      <c r="AM37" s="435">
        <v>6750000</v>
      </c>
      <c r="AN37" s="435">
        <v>4499998</v>
      </c>
      <c r="AO37" s="435">
        <v>2249999</v>
      </c>
      <c r="AP37" s="435">
        <v>92896</v>
      </c>
      <c r="AQ37" s="435">
        <v>12500000</v>
      </c>
      <c r="AR37" s="435">
        <v>10000000</v>
      </c>
      <c r="AS37" s="435">
        <v>7500000</v>
      </c>
      <c r="AT37" s="435">
        <v>5000000</v>
      </c>
      <c r="AU37" s="435">
        <v>2500000</v>
      </c>
      <c r="AV37" s="435">
        <v>0</v>
      </c>
      <c r="AW37" s="435">
        <v>12500000</v>
      </c>
      <c r="AX37" s="435">
        <v>10000000</v>
      </c>
      <c r="AY37" s="435">
        <v>7500000</v>
      </c>
      <c r="AZ37" s="435">
        <v>5000000</v>
      </c>
      <c r="BA37" s="435">
        <v>2500000</v>
      </c>
      <c r="BB37" s="435">
        <v>0</v>
      </c>
      <c r="BC37" s="435">
        <v>12500000</v>
      </c>
      <c r="BD37" s="435">
        <v>10000000</v>
      </c>
      <c r="BE37" s="435">
        <v>7500000</v>
      </c>
      <c r="BF37" s="435">
        <v>5000000</v>
      </c>
      <c r="BG37" s="435">
        <v>2500000</v>
      </c>
      <c r="BH37" s="435">
        <v>0</v>
      </c>
      <c r="BI37" s="435">
        <v>12500000</v>
      </c>
      <c r="BJ37" s="435">
        <v>10000000</v>
      </c>
      <c r="BK37" s="435">
        <v>7500000</v>
      </c>
      <c r="BL37" s="435">
        <v>5000000</v>
      </c>
      <c r="BM37" s="435">
        <v>2500000</v>
      </c>
      <c r="BN37" s="435">
        <v>0</v>
      </c>
      <c r="BO37" s="435">
        <v>12500000</v>
      </c>
      <c r="BP37" s="435">
        <v>10000000</v>
      </c>
      <c r="BQ37" s="435">
        <v>7500000</v>
      </c>
      <c r="BR37" s="435">
        <v>5000000</v>
      </c>
      <c r="BS37" s="435">
        <v>2500000</v>
      </c>
      <c r="BT37" s="435">
        <v>16500000</v>
      </c>
      <c r="BU37" s="435">
        <v>16500000</v>
      </c>
    </row>
    <row r="38" spans="2:73" ht="15.95" customHeight="1">
      <c r="B38" s="1884"/>
      <c r="C38" s="1885" t="s">
        <v>200</v>
      </c>
      <c r="D38" s="434">
        <v>11666666</v>
      </c>
      <c r="E38" s="435">
        <v>0</v>
      </c>
      <c r="F38" s="91"/>
      <c r="G38" s="91"/>
      <c r="H38" s="91"/>
      <c r="I38" s="435">
        <v>8750000</v>
      </c>
      <c r="J38" s="435">
        <v>5833332</v>
      </c>
      <c r="K38" s="435">
        <v>2916666</v>
      </c>
      <c r="L38" s="435">
        <v>0</v>
      </c>
      <c r="M38" s="435">
        <v>14583332</v>
      </c>
      <c r="N38" s="435">
        <v>11666666</v>
      </c>
      <c r="O38" s="435">
        <v>8750000</v>
      </c>
      <c r="P38" s="435">
        <v>5833332</v>
      </c>
      <c r="Q38" s="435">
        <v>2916666</v>
      </c>
      <c r="R38" s="435">
        <v>0</v>
      </c>
      <c r="S38" s="435">
        <v>14583332</v>
      </c>
      <c r="T38" s="435">
        <v>11666666</v>
      </c>
      <c r="U38" s="435">
        <v>8750000</v>
      </c>
      <c r="V38" s="435">
        <v>5833332</v>
      </c>
      <c r="W38" s="435">
        <v>2916666</v>
      </c>
      <c r="X38" s="435">
        <v>0</v>
      </c>
      <c r="Y38" s="435">
        <v>14583332</v>
      </c>
      <c r="Z38" s="435">
        <v>11666666</v>
      </c>
      <c r="AA38" s="435">
        <v>8750000</v>
      </c>
      <c r="AB38" s="435">
        <v>5833332</v>
      </c>
      <c r="AC38" s="435">
        <v>2916666</v>
      </c>
      <c r="AD38" s="435">
        <v>0</v>
      </c>
      <c r="AE38" s="435">
        <v>14583332</v>
      </c>
      <c r="AF38" s="435">
        <v>11666666</v>
      </c>
      <c r="AG38" s="435">
        <v>8750000</v>
      </c>
      <c r="AH38" s="435">
        <v>5833332</v>
      </c>
      <c r="AI38" s="435">
        <v>2916666</v>
      </c>
      <c r="AJ38" s="435">
        <v>0</v>
      </c>
      <c r="AK38" s="435">
        <v>14583332</v>
      </c>
      <c r="AL38" s="435">
        <v>11666666</v>
      </c>
      <c r="AM38" s="435">
        <v>8750000</v>
      </c>
      <c r="AN38" s="435">
        <v>5833332</v>
      </c>
      <c r="AO38" s="435">
        <v>2916666</v>
      </c>
      <c r="AP38" s="435">
        <v>0</v>
      </c>
      <c r="AQ38" s="435">
        <v>14583332</v>
      </c>
      <c r="AR38" s="435">
        <v>11666666</v>
      </c>
      <c r="AS38" s="435">
        <v>8750000</v>
      </c>
      <c r="AT38" s="435">
        <v>5833332</v>
      </c>
      <c r="AU38" s="435">
        <v>2916666</v>
      </c>
      <c r="AV38" s="435">
        <v>0</v>
      </c>
      <c r="AW38" s="435">
        <v>14583332</v>
      </c>
      <c r="AX38" s="435">
        <v>11666666</v>
      </c>
      <c r="AY38" s="435">
        <v>8750000</v>
      </c>
      <c r="AZ38" s="435">
        <v>5833332</v>
      </c>
      <c r="BA38" s="435">
        <v>2916666</v>
      </c>
      <c r="BB38" s="435">
        <v>0</v>
      </c>
      <c r="BC38" s="435">
        <v>14583332</v>
      </c>
      <c r="BD38" s="435">
        <v>11666666</v>
      </c>
      <c r="BE38" s="435">
        <v>8750000</v>
      </c>
      <c r="BF38" s="435">
        <v>5833332</v>
      </c>
      <c r="BG38" s="435">
        <v>2916666</v>
      </c>
      <c r="BH38" s="435">
        <v>0</v>
      </c>
      <c r="BI38" s="435">
        <v>14583332</v>
      </c>
      <c r="BJ38" s="435">
        <v>11666666</v>
      </c>
      <c r="BK38" s="435">
        <v>8750000</v>
      </c>
      <c r="BL38" s="435">
        <v>5833332</v>
      </c>
      <c r="BM38" s="435">
        <v>2916666</v>
      </c>
      <c r="BN38" s="435">
        <v>0</v>
      </c>
      <c r="BO38" s="435">
        <v>14583332</v>
      </c>
      <c r="BP38" s="435">
        <v>11666666</v>
      </c>
      <c r="BQ38" s="435">
        <v>8750000</v>
      </c>
      <c r="BR38" s="435">
        <v>5833332</v>
      </c>
      <c r="BS38" s="435">
        <v>2916666</v>
      </c>
      <c r="BT38" s="435">
        <v>19250000</v>
      </c>
      <c r="BU38" s="435">
        <v>19250000</v>
      </c>
    </row>
    <row r="39" spans="2:73" ht="15.95" customHeight="1">
      <c r="B39" s="1884"/>
      <c r="C39" s="1885" t="s">
        <v>201</v>
      </c>
      <c r="D39" s="434">
        <v>1666666</v>
      </c>
      <c r="E39" s="435">
        <v>5000000</v>
      </c>
      <c r="F39" s="91"/>
      <c r="G39" s="91"/>
      <c r="H39" s="91"/>
      <c r="I39" s="435">
        <v>0</v>
      </c>
      <c r="J39" s="435">
        <v>8333332</v>
      </c>
      <c r="K39" s="435">
        <v>6666666</v>
      </c>
      <c r="L39" s="435">
        <v>5000000</v>
      </c>
      <c r="M39" s="435">
        <v>3333332</v>
      </c>
      <c r="N39" s="435">
        <v>1666666</v>
      </c>
      <c r="O39" s="435">
        <v>0</v>
      </c>
      <c r="P39" s="435">
        <v>8333332</v>
      </c>
      <c r="Q39" s="435">
        <v>6666666</v>
      </c>
      <c r="R39" s="435">
        <v>5000000</v>
      </c>
      <c r="S39" s="435">
        <v>3333332</v>
      </c>
      <c r="T39" s="435">
        <v>1666666</v>
      </c>
      <c r="U39" s="435">
        <v>10000000</v>
      </c>
      <c r="V39" s="435">
        <v>8333332</v>
      </c>
      <c r="W39" s="435">
        <v>6666666</v>
      </c>
      <c r="X39" s="435">
        <v>5000000</v>
      </c>
      <c r="Y39" s="435">
        <v>3333332</v>
      </c>
      <c r="Z39" s="435">
        <v>1666666</v>
      </c>
      <c r="AA39" s="435">
        <v>0</v>
      </c>
      <c r="AB39" s="435">
        <v>8333332</v>
      </c>
      <c r="AC39" s="435">
        <v>6666666</v>
      </c>
      <c r="AD39" s="435">
        <v>5000000</v>
      </c>
      <c r="AE39" s="435">
        <v>3333332</v>
      </c>
      <c r="AF39" s="435">
        <v>1666666</v>
      </c>
      <c r="AG39" s="435">
        <v>0</v>
      </c>
      <c r="AH39" s="435">
        <v>8333332</v>
      </c>
      <c r="AI39" s="435">
        <v>6666666</v>
      </c>
      <c r="AJ39" s="435">
        <v>5000000</v>
      </c>
      <c r="AK39" s="435">
        <v>3333332</v>
      </c>
      <c r="AL39" s="435">
        <v>1666666</v>
      </c>
      <c r="AM39" s="435">
        <v>0</v>
      </c>
      <c r="AN39" s="435">
        <v>8333332</v>
      </c>
      <c r="AO39" s="435">
        <v>6666666</v>
      </c>
      <c r="AP39" s="435">
        <v>5000000</v>
      </c>
      <c r="AQ39" s="435">
        <v>3333332</v>
      </c>
      <c r="AR39" s="435">
        <v>1666666</v>
      </c>
      <c r="AS39" s="435">
        <v>0</v>
      </c>
      <c r="AT39" s="435">
        <v>8333332</v>
      </c>
      <c r="AU39" s="435">
        <v>6666666</v>
      </c>
      <c r="AV39" s="435">
        <v>5000000</v>
      </c>
      <c r="AW39" s="435">
        <v>3333332</v>
      </c>
      <c r="AX39" s="435">
        <v>1666666</v>
      </c>
      <c r="AY39" s="435">
        <v>0</v>
      </c>
      <c r="AZ39" s="435">
        <v>8333332</v>
      </c>
      <c r="BA39" s="435">
        <v>6666666</v>
      </c>
      <c r="BB39" s="435">
        <v>5000000</v>
      </c>
      <c r="BC39" s="435">
        <v>3333332</v>
      </c>
      <c r="BD39" s="435">
        <v>1666666</v>
      </c>
      <c r="BE39" s="435">
        <v>0</v>
      </c>
      <c r="BF39" s="435">
        <v>8333332</v>
      </c>
      <c r="BG39" s="435">
        <v>6666666</v>
      </c>
      <c r="BH39" s="435">
        <v>5000000</v>
      </c>
      <c r="BI39" s="435">
        <v>3333332</v>
      </c>
      <c r="BJ39" s="435">
        <v>1666666</v>
      </c>
      <c r="BK39" s="435">
        <v>0</v>
      </c>
      <c r="BL39" s="435">
        <v>8333332</v>
      </c>
      <c r="BM39" s="435">
        <v>6666666</v>
      </c>
      <c r="BN39" s="435">
        <v>5000000</v>
      </c>
      <c r="BO39" s="435">
        <v>3333332</v>
      </c>
      <c r="BP39" s="435">
        <v>12666666</v>
      </c>
      <c r="BQ39" s="435">
        <v>11000000</v>
      </c>
      <c r="BR39" s="435">
        <v>8333332</v>
      </c>
      <c r="BS39" s="435">
        <v>6666666</v>
      </c>
      <c r="BT39" s="435">
        <v>5000000</v>
      </c>
      <c r="BU39" s="435">
        <v>5000000</v>
      </c>
    </row>
    <row r="40" spans="2:73" ht="15.95" customHeight="1">
      <c r="B40" s="1884"/>
      <c r="C40" s="1885" t="s">
        <v>202</v>
      </c>
      <c r="D40" s="434">
        <v>666666</v>
      </c>
      <c r="E40" s="435">
        <v>2000000</v>
      </c>
      <c r="F40" s="91"/>
      <c r="G40" s="91"/>
      <c r="H40" s="91"/>
      <c r="I40" s="435">
        <v>0</v>
      </c>
      <c r="J40" s="435">
        <v>3333332</v>
      </c>
      <c r="K40" s="435">
        <v>2666666</v>
      </c>
      <c r="L40" s="435">
        <v>2000000</v>
      </c>
      <c r="M40" s="435">
        <v>1333332</v>
      </c>
      <c r="N40" s="435">
        <v>666666</v>
      </c>
      <c r="O40" s="435">
        <v>0</v>
      </c>
      <c r="P40" s="435">
        <v>3333332</v>
      </c>
      <c r="Q40" s="435">
        <v>2666666</v>
      </c>
      <c r="R40" s="435">
        <v>2000000</v>
      </c>
      <c r="S40" s="435">
        <v>1333332</v>
      </c>
      <c r="T40" s="435">
        <v>666666</v>
      </c>
      <c r="U40" s="435">
        <v>4000000</v>
      </c>
      <c r="V40" s="435">
        <v>3333332</v>
      </c>
      <c r="W40" s="435">
        <v>2666666</v>
      </c>
      <c r="X40" s="435">
        <v>2000000</v>
      </c>
      <c r="Y40" s="435">
        <v>1333332</v>
      </c>
      <c r="Z40" s="435">
        <v>666666</v>
      </c>
      <c r="AA40" s="435">
        <v>0</v>
      </c>
      <c r="AB40" s="435">
        <v>3333332</v>
      </c>
      <c r="AC40" s="435">
        <v>2666666</v>
      </c>
      <c r="AD40" s="435">
        <v>2000000</v>
      </c>
      <c r="AE40" s="435">
        <v>1333332</v>
      </c>
      <c r="AF40" s="435">
        <v>666666</v>
      </c>
      <c r="AG40" s="435">
        <v>0</v>
      </c>
      <c r="AH40" s="435">
        <v>3333332</v>
      </c>
      <c r="AI40" s="435">
        <v>2666666</v>
      </c>
      <c r="AJ40" s="435">
        <v>2000000</v>
      </c>
      <c r="AK40" s="435">
        <v>1333332</v>
      </c>
      <c r="AL40" s="435">
        <v>666666</v>
      </c>
      <c r="AM40" s="435">
        <v>0</v>
      </c>
      <c r="AN40" s="435">
        <v>3333332</v>
      </c>
      <c r="AO40" s="435">
        <v>2666666</v>
      </c>
      <c r="AP40" s="435">
        <v>2000000</v>
      </c>
      <c r="AQ40" s="435">
        <v>1333332</v>
      </c>
      <c r="AR40" s="435">
        <v>666666</v>
      </c>
      <c r="AS40" s="435">
        <v>0</v>
      </c>
      <c r="AT40" s="435">
        <v>3333332</v>
      </c>
      <c r="AU40" s="435">
        <v>2666666</v>
      </c>
      <c r="AV40" s="435">
        <v>2000000</v>
      </c>
      <c r="AW40" s="435">
        <v>1333332</v>
      </c>
      <c r="AX40" s="435">
        <v>666666</v>
      </c>
      <c r="AY40" s="435">
        <v>0</v>
      </c>
      <c r="AZ40" s="435">
        <v>3333332</v>
      </c>
      <c r="BA40" s="435">
        <v>2666666</v>
      </c>
      <c r="BB40" s="435">
        <v>2000000</v>
      </c>
      <c r="BC40" s="435">
        <v>1333332</v>
      </c>
      <c r="BD40" s="435">
        <v>666666</v>
      </c>
      <c r="BE40" s="435">
        <v>0</v>
      </c>
      <c r="BF40" s="435">
        <v>3333332</v>
      </c>
      <c r="BG40" s="435">
        <v>2666666</v>
      </c>
      <c r="BH40" s="435">
        <v>2000000</v>
      </c>
      <c r="BI40" s="435">
        <v>1333332</v>
      </c>
      <c r="BJ40" s="435">
        <v>666666</v>
      </c>
      <c r="BK40" s="435">
        <v>0</v>
      </c>
      <c r="BL40" s="435">
        <v>3333332</v>
      </c>
      <c r="BM40" s="435">
        <v>2666666</v>
      </c>
      <c r="BN40" s="435">
        <v>2000000</v>
      </c>
      <c r="BO40" s="435">
        <v>1333332</v>
      </c>
      <c r="BP40" s="435">
        <v>5066666</v>
      </c>
      <c r="BQ40" s="435">
        <v>4400000</v>
      </c>
      <c r="BR40" s="435">
        <v>3333332</v>
      </c>
      <c r="BS40" s="435">
        <v>2666666</v>
      </c>
      <c r="BT40" s="435">
        <v>2000000</v>
      </c>
      <c r="BU40" s="435">
        <v>2000000</v>
      </c>
    </row>
    <row r="41" spans="2:73" ht="15.95" customHeight="1">
      <c r="B41" s="1884"/>
      <c r="C41" s="1885" t="s">
        <v>735</v>
      </c>
      <c r="D41" s="434">
        <v>666666</v>
      </c>
      <c r="E41" s="435">
        <v>1000000</v>
      </c>
      <c r="F41" s="91"/>
      <c r="G41" s="91"/>
      <c r="H41" s="91"/>
      <c r="I41" s="435">
        <v>500000</v>
      </c>
      <c r="J41" s="435">
        <v>333332</v>
      </c>
      <c r="K41" s="435">
        <v>166666</v>
      </c>
      <c r="L41" s="435">
        <v>1000000</v>
      </c>
      <c r="M41" s="435">
        <v>833332</v>
      </c>
      <c r="N41" s="435">
        <v>666666</v>
      </c>
      <c r="O41" s="435">
        <v>500000</v>
      </c>
      <c r="P41" s="435">
        <v>333332</v>
      </c>
      <c r="Q41" s="435">
        <v>166666</v>
      </c>
      <c r="R41" s="435">
        <v>1000000</v>
      </c>
      <c r="S41" s="435">
        <v>833332</v>
      </c>
      <c r="T41" s="435">
        <v>666666</v>
      </c>
      <c r="U41" s="435">
        <v>500000</v>
      </c>
      <c r="V41" s="435">
        <v>333332</v>
      </c>
      <c r="W41" s="435">
        <v>166666</v>
      </c>
      <c r="X41" s="435">
        <v>1000000</v>
      </c>
      <c r="Y41" s="435">
        <v>833332</v>
      </c>
      <c r="Z41" s="435">
        <v>666666</v>
      </c>
      <c r="AA41" s="435">
        <v>500000</v>
      </c>
      <c r="AB41" s="435">
        <v>333332</v>
      </c>
      <c r="AC41" s="435">
        <v>166666</v>
      </c>
      <c r="AD41" s="435">
        <v>1000000</v>
      </c>
      <c r="AE41" s="435">
        <v>833332</v>
      </c>
      <c r="AF41" s="435">
        <v>666666</v>
      </c>
      <c r="AG41" s="435">
        <v>500000</v>
      </c>
      <c r="AH41" s="435">
        <v>333332</v>
      </c>
      <c r="AI41" s="435">
        <v>166666</v>
      </c>
      <c r="AJ41" s="435">
        <v>1000000</v>
      </c>
      <c r="AK41" s="435">
        <v>833332</v>
      </c>
      <c r="AL41" s="435">
        <v>666666</v>
      </c>
      <c r="AM41" s="435">
        <v>500000</v>
      </c>
      <c r="AN41" s="435">
        <v>333332</v>
      </c>
      <c r="AO41" s="435">
        <v>1166666</v>
      </c>
      <c r="AP41" s="435">
        <v>1000000</v>
      </c>
      <c r="AQ41" s="435">
        <v>833332</v>
      </c>
      <c r="AR41" s="435">
        <v>666666</v>
      </c>
      <c r="AS41" s="435">
        <v>500000</v>
      </c>
      <c r="AT41" s="435">
        <v>333332</v>
      </c>
      <c r="AU41" s="435">
        <v>166666</v>
      </c>
      <c r="AV41" s="435">
        <v>1000000</v>
      </c>
      <c r="AW41" s="435">
        <v>833332</v>
      </c>
      <c r="AX41" s="435">
        <v>666666</v>
      </c>
      <c r="AY41" s="435">
        <v>500000</v>
      </c>
      <c r="AZ41" s="435">
        <v>333332</v>
      </c>
      <c r="BA41" s="435">
        <v>166666</v>
      </c>
      <c r="BB41" s="435">
        <v>1000000</v>
      </c>
      <c r="BC41" s="435">
        <v>833332</v>
      </c>
      <c r="BD41" s="435">
        <v>666666</v>
      </c>
      <c r="BE41" s="435">
        <v>500000</v>
      </c>
      <c r="BF41" s="435">
        <v>333332</v>
      </c>
      <c r="BG41" s="435">
        <v>166666</v>
      </c>
      <c r="BH41" s="435">
        <v>1000000</v>
      </c>
      <c r="BI41" s="435">
        <v>833332</v>
      </c>
      <c r="BJ41" s="435">
        <v>666666</v>
      </c>
      <c r="BK41" s="435">
        <v>1600000</v>
      </c>
      <c r="BL41" s="435">
        <v>1433332</v>
      </c>
      <c r="BM41" s="435">
        <v>1266666</v>
      </c>
      <c r="BN41" s="435">
        <v>1000000</v>
      </c>
      <c r="BO41" s="435">
        <v>833332</v>
      </c>
      <c r="BP41" s="435">
        <v>1766666</v>
      </c>
      <c r="BQ41" s="435">
        <v>1600000</v>
      </c>
      <c r="BR41" s="435">
        <v>1433332</v>
      </c>
      <c r="BS41" s="435">
        <v>1266666</v>
      </c>
      <c r="BT41" s="435">
        <v>1000000</v>
      </c>
      <c r="BU41" s="435">
        <v>1000000</v>
      </c>
    </row>
    <row r="42" spans="2:73" ht="15.95" customHeight="1">
      <c r="B42" s="1884"/>
      <c r="C42" s="1885" t="s">
        <v>203</v>
      </c>
      <c r="D42" s="434">
        <v>982890642</v>
      </c>
      <c r="E42" s="435">
        <v>355513602</v>
      </c>
      <c r="F42" s="91"/>
      <c r="G42" s="91"/>
      <c r="H42" s="91"/>
      <c r="I42" s="435">
        <v>334601028</v>
      </c>
      <c r="J42" s="435">
        <v>1631180262</v>
      </c>
      <c r="K42" s="435">
        <v>982890648</v>
      </c>
      <c r="L42" s="435">
        <v>355513602</v>
      </c>
      <c r="M42" s="435">
        <v>1611241708</v>
      </c>
      <c r="N42" s="435">
        <v>1004777228</v>
      </c>
      <c r="O42" s="435">
        <v>356487614</v>
      </c>
      <c r="P42" s="435">
        <v>1614679395</v>
      </c>
      <c r="Q42" s="435">
        <v>985583508</v>
      </c>
      <c r="R42" s="435">
        <v>335517758</v>
      </c>
      <c r="S42" s="435">
        <v>1635649265</v>
      </c>
      <c r="T42" s="435">
        <v>985583515</v>
      </c>
      <c r="U42" s="435">
        <v>335517765</v>
      </c>
      <c r="V42" s="435">
        <v>1635649272</v>
      </c>
      <c r="W42" s="435">
        <v>985583522</v>
      </c>
      <c r="X42" s="435">
        <v>356487635</v>
      </c>
      <c r="Y42" s="435">
        <v>1593709553</v>
      </c>
      <c r="Z42" s="435">
        <v>1006553391</v>
      </c>
      <c r="AA42" s="435">
        <v>356487641</v>
      </c>
      <c r="AB42" s="435">
        <v>1614679422</v>
      </c>
      <c r="AC42" s="435">
        <v>985583535</v>
      </c>
      <c r="AD42" s="435">
        <v>335517785</v>
      </c>
      <c r="AE42" s="435">
        <v>1635649292</v>
      </c>
      <c r="AF42" s="435">
        <v>985583542</v>
      </c>
      <c r="AG42" s="435">
        <v>335517792</v>
      </c>
      <c r="AH42" s="435">
        <v>1635649299</v>
      </c>
      <c r="AI42" s="435">
        <v>985583549</v>
      </c>
      <c r="AJ42" s="435">
        <v>356487662</v>
      </c>
      <c r="AK42" s="435">
        <v>1590329187</v>
      </c>
      <c r="AL42" s="435">
        <v>1004777276</v>
      </c>
      <c r="AM42" s="435">
        <v>356487662</v>
      </c>
      <c r="AN42" s="435">
        <v>1614679443</v>
      </c>
      <c r="AO42" s="435">
        <v>985583556</v>
      </c>
      <c r="AP42" s="435">
        <v>335517806</v>
      </c>
      <c r="AQ42" s="435">
        <v>522929760</v>
      </c>
      <c r="AR42" s="435">
        <v>1866356390</v>
      </c>
      <c r="AS42" s="435">
        <v>1174358935</v>
      </c>
      <c r="AT42" s="435">
        <v>504683979</v>
      </c>
      <c r="AU42" s="435">
        <v>1699410028</v>
      </c>
      <c r="AV42" s="435">
        <v>1149318633</v>
      </c>
      <c r="AW42" s="435">
        <v>457321178</v>
      </c>
      <c r="AX42" s="435">
        <v>1885409273</v>
      </c>
      <c r="AY42" s="435">
        <v>1193411818</v>
      </c>
      <c r="AZ42" s="435">
        <v>503305067</v>
      </c>
      <c r="BA42" s="435">
        <v>1737934664</v>
      </c>
      <c r="BB42" s="435">
        <v>1171150317</v>
      </c>
      <c r="BC42" s="435">
        <v>503305075</v>
      </c>
      <c r="BD42" s="435">
        <v>1715673163</v>
      </c>
      <c r="BE42" s="435">
        <v>1151599198</v>
      </c>
      <c r="BF42" s="435">
        <v>483753956</v>
      </c>
      <c r="BG42" s="435">
        <v>1696122044</v>
      </c>
      <c r="BH42" s="435">
        <v>1148888823</v>
      </c>
      <c r="BI42" s="435">
        <v>458782072</v>
      </c>
      <c r="BJ42" s="435">
        <v>1718594330</v>
      </c>
      <c r="BK42" s="435">
        <v>1153395371</v>
      </c>
      <c r="BL42" s="435">
        <v>461397916</v>
      </c>
      <c r="BM42" s="435">
        <v>1762300842</v>
      </c>
      <c r="BN42" s="435">
        <v>1195322565</v>
      </c>
      <c r="BO42" s="435">
        <v>525647607</v>
      </c>
      <c r="BP42" s="435">
        <v>1762300842</v>
      </c>
      <c r="BQ42" s="435">
        <v>1195322564</v>
      </c>
      <c r="BR42" s="435">
        <v>525647606</v>
      </c>
      <c r="BS42" s="435">
        <v>1657482868</v>
      </c>
      <c r="BT42" s="435">
        <v>1108750376</v>
      </c>
      <c r="BU42" s="435">
        <v>1195322562</v>
      </c>
    </row>
    <row r="43" spans="2:73" ht="15.95" customHeight="1">
      <c r="B43" s="1884"/>
      <c r="C43" s="1885" t="s">
        <v>736</v>
      </c>
      <c r="D43" s="434">
        <v>335017800</v>
      </c>
      <c r="E43" s="435">
        <v>283979800</v>
      </c>
      <c r="F43" s="91"/>
      <c r="G43" s="91"/>
      <c r="H43" s="91"/>
      <c r="I43" s="435">
        <v>479912800</v>
      </c>
      <c r="J43" s="435">
        <v>414601800</v>
      </c>
      <c r="K43" s="435">
        <v>349290800</v>
      </c>
      <c r="L43" s="435">
        <v>283979800</v>
      </c>
      <c r="M43" s="435">
        <v>218668800</v>
      </c>
      <c r="N43" s="435">
        <v>153357800</v>
      </c>
      <c r="O43" s="435">
        <v>88046880</v>
      </c>
      <c r="P43" s="435">
        <v>80673880</v>
      </c>
      <c r="Q43" s="435">
        <v>61862110</v>
      </c>
      <c r="R43" s="435">
        <v>249877980</v>
      </c>
      <c r="S43" s="435">
        <v>353892160</v>
      </c>
      <c r="T43" s="435">
        <v>320427940</v>
      </c>
      <c r="U43" s="435">
        <v>472535870</v>
      </c>
      <c r="V43" s="435">
        <v>407934100</v>
      </c>
      <c r="W43" s="435">
        <v>343332330</v>
      </c>
      <c r="X43" s="435">
        <v>278730560</v>
      </c>
      <c r="Y43" s="435">
        <v>214128790</v>
      </c>
      <c r="Z43" s="435">
        <v>149527020</v>
      </c>
      <c r="AA43" s="435">
        <v>84925240</v>
      </c>
      <c r="AB43" s="435">
        <v>67510610</v>
      </c>
      <c r="AC43" s="435">
        <v>50095990</v>
      </c>
      <c r="AD43" s="435">
        <v>233781340</v>
      </c>
      <c r="AE43" s="435">
        <v>318759520</v>
      </c>
      <c r="AF43" s="435">
        <v>289351260</v>
      </c>
      <c r="AG43" s="435">
        <v>436008340</v>
      </c>
      <c r="AH43" s="435">
        <v>377255840</v>
      </c>
      <c r="AI43" s="435">
        <v>318503340</v>
      </c>
      <c r="AJ43" s="435">
        <v>259750840</v>
      </c>
      <c r="AK43" s="435">
        <v>200998340</v>
      </c>
      <c r="AL43" s="435">
        <v>142245840</v>
      </c>
      <c r="AM43" s="435">
        <v>83493330</v>
      </c>
      <c r="AN43" s="435">
        <v>66794673</v>
      </c>
      <c r="AO43" s="435">
        <v>188592320</v>
      </c>
      <c r="AP43" s="435">
        <v>176019500</v>
      </c>
      <c r="AQ43" s="435">
        <v>259503390</v>
      </c>
      <c r="AR43" s="435">
        <v>455814610</v>
      </c>
      <c r="AS43" s="435">
        <v>399678830</v>
      </c>
      <c r="AT43" s="435">
        <v>343543050</v>
      </c>
      <c r="AU43" s="435">
        <v>287407270</v>
      </c>
      <c r="AV43" s="435">
        <v>231271490</v>
      </c>
      <c r="AW43" s="435">
        <v>175135710</v>
      </c>
      <c r="AX43" s="435">
        <v>118999930</v>
      </c>
      <c r="AY43" s="435">
        <v>62864110</v>
      </c>
      <c r="AZ43" s="435">
        <v>50291290</v>
      </c>
      <c r="BA43" s="435">
        <v>37718463</v>
      </c>
      <c r="BB43" s="435">
        <v>171620144</v>
      </c>
      <c r="BC43" s="435">
        <v>250878902</v>
      </c>
      <c r="BD43" s="435">
        <v>227180650</v>
      </c>
      <c r="BE43" s="435">
        <v>377956429</v>
      </c>
      <c r="BF43" s="435">
        <v>325179177</v>
      </c>
      <c r="BG43" s="435">
        <v>272401925</v>
      </c>
      <c r="BH43" s="435">
        <v>219624673</v>
      </c>
      <c r="BI43" s="435">
        <v>166847421</v>
      </c>
      <c r="BJ43" s="435">
        <v>114070169</v>
      </c>
      <c r="BK43" s="435">
        <v>61292907</v>
      </c>
      <c r="BL43" s="435">
        <v>49034325</v>
      </c>
      <c r="BM43" s="435">
        <v>36775743</v>
      </c>
      <c r="BN43" s="435">
        <v>155668542</v>
      </c>
      <c r="BO43" s="435">
        <v>227960641</v>
      </c>
      <c r="BP43" s="435">
        <v>206415050</v>
      </c>
      <c r="BQ43" s="435">
        <v>399491729</v>
      </c>
      <c r="BR43" s="435">
        <v>342175759</v>
      </c>
      <c r="BS43" s="435">
        <v>284859789</v>
      </c>
      <c r="BT43" s="435">
        <v>227543819</v>
      </c>
      <c r="BU43" s="435">
        <v>163819344</v>
      </c>
    </row>
    <row r="44" spans="2:73" ht="15.95" customHeight="1">
      <c r="B44" s="1884"/>
      <c r="C44" s="1885" t="s">
        <v>737</v>
      </c>
      <c r="D44" s="434">
        <v>467256940</v>
      </c>
      <c r="E44" s="435">
        <v>527050870</v>
      </c>
      <c r="F44" s="91"/>
      <c r="G44" s="91"/>
      <c r="H44" s="91"/>
      <c r="I44" s="435">
        <v>590929770</v>
      </c>
      <c r="J44" s="435">
        <v>565280760</v>
      </c>
      <c r="K44" s="435">
        <v>551897110</v>
      </c>
      <c r="L44" s="435">
        <v>527050870</v>
      </c>
      <c r="M44" s="435">
        <v>532817580</v>
      </c>
      <c r="N44" s="435">
        <v>620425600</v>
      </c>
      <c r="O44" s="435">
        <v>555292510</v>
      </c>
      <c r="P44" s="435">
        <v>536552940</v>
      </c>
      <c r="Q44" s="435">
        <v>484021220</v>
      </c>
      <c r="R44" s="435">
        <v>604169300</v>
      </c>
      <c r="S44" s="435">
        <v>643699950</v>
      </c>
      <c r="T44" s="435">
        <v>637387377</v>
      </c>
      <c r="U44" s="435">
        <v>590724450</v>
      </c>
      <c r="V44" s="435">
        <v>621076458</v>
      </c>
      <c r="W44" s="435">
        <v>544464368</v>
      </c>
      <c r="X44" s="435">
        <v>841119417</v>
      </c>
      <c r="Y44" s="435">
        <v>545387956</v>
      </c>
      <c r="Z44" s="435">
        <v>565155158</v>
      </c>
      <c r="AA44" s="435">
        <v>565288310</v>
      </c>
      <c r="AB44" s="435">
        <v>489136780</v>
      </c>
      <c r="AC44" s="435">
        <v>465230878</v>
      </c>
      <c r="AD44" s="435">
        <v>504579914</v>
      </c>
      <c r="AE44" s="435">
        <v>594002950</v>
      </c>
      <c r="AF44" s="435">
        <v>572765620</v>
      </c>
      <c r="AG44" s="435">
        <v>522883670</v>
      </c>
      <c r="AH44" s="435">
        <v>508300330</v>
      </c>
      <c r="AI44" s="435">
        <v>509008160</v>
      </c>
      <c r="AJ44" s="435">
        <v>449963390</v>
      </c>
      <c r="AK44" s="435">
        <v>503583050</v>
      </c>
      <c r="AL44" s="435">
        <v>536044350</v>
      </c>
      <c r="AM44" s="435">
        <v>495137630</v>
      </c>
      <c r="AN44" s="435">
        <v>474321370</v>
      </c>
      <c r="AO44" s="435">
        <v>441509554</v>
      </c>
      <c r="AP44" s="435">
        <v>421671710</v>
      </c>
      <c r="AQ44" s="435">
        <v>523555825</v>
      </c>
      <c r="AR44" s="435">
        <v>529999095</v>
      </c>
      <c r="AS44" s="435">
        <v>515219613</v>
      </c>
      <c r="AT44" s="435">
        <v>503979620</v>
      </c>
      <c r="AU44" s="435">
        <v>489789500</v>
      </c>
      <c r="AV44" s="435">
        <v>511869440</v>
      </c>
      <c r="AW44" s="435">
        <v>476657783</v>
      </c>
      <c r="AX44" s="435">
        <v>484091110</v>
      </c>
      <c r="AY44" s="435">
        <v>501854188</v>
      </c>
      <c r="AZ44" s="435">
        <v>462515550</v>
      </c>
      <c r="BA44" s="435">
        <v>421615630</v>
      </c>
      <c r="BB44" s="435">
        <v>467572200</v>
      </c>
      <c r="BC44" s="435">
        <v>532537047</v>
      </c>
      <c r="BD44" s="435">
        <v>537212424</v>
      </c>
      <c r="BE44" s="435">
        <v>546190935</v>
      </c>
      <c r="BF44" s="435">
        <v>494555260</v>
      </c>
      <c r="BG44" s="435">
        <v>465910034</v>
      </c>
      <c r="BH44" s="435">
        <v>430513390</v>
      </c>
      <c r="BI44" s="435">
        <v>465325780</v>
      </c>
      <c r="BJ44" s="435">
        <v>464561760</v>
      </c>
      <c r="BK44" s="435">
        <v>572254800</v>
      </c>
      <c r="BL44" s="435">
        <v>455916313</v>
      </c>
      <c r="BM44" s="435">
        <v>437824530</v>
      </c>
      <c r="BN44" s="435">
        <v>468587810</v>
      </c>
      <c r="BO44" s="435">
        <v>586681575</v>
      </c>
      <c r="BP44" s="435">
        <v>544868074</v>
      </c>
      <c r="BQ44" s="435">
        <v>497601164</v>
      </c>
      <c r="BR44" s="435">
        <v>483123577</v>
      </c>
      <c r="BS44" s="435">
        <v>444413660</v>
      </c>
      <c r="BT44" s="435">
        <v>486995149</v>
      </c>
      <c r="BU44" s="435">
        <v>452499790</v>
      </c>
    </row>
    <row r="45" spans="2:73" ht="15.95" customHeight="1">
      <c r="B45" s="1886" t="s">
        <v>738</v>
      </c>
      <c r="C45" s="1873" t="s">
        <v>739</v>
      </c>
      <c r="D45" s="423">
        <v>6250000</v>
      </c>
      <c r="E45" s="424">
        <v>6250000</v>
      </c>
      <c r="F45" s="91"/>
      <c r="G45" s="91"/>
      <c r="H45" s="91"/>
      <c r="I45" s="424">
        <v>6250000</v>
      </c>
      <c r="J45" s="424">
        <v>6250000</v>
      </c>
      <c r="K45" s="424">
        <v>6250000</v>
      </c>
      <c r="L45" s="424">
        <v>6250000</v>
      </c>
      <c r="M45" s="424">
        <v>6250000</v>
      </c>
      <c r="N45" s="424">
        <v>6250000</v>
      </c>
      <c r="O45" s="424">
        <v>6250000</v>
      </c>
      <c r="P45" s="424">
        <v>6250000</v>
      </c>
      <c r="Q45" s="424">
        <v>95266900</v>
      </c>
      <c r="R45" s="424">
        <v>6250000</v>
      </c>
      <c r="S45" s="424">
        <v>6250000</v>
      </c>
      <c r="T45" s="424">
        <v>103673210</v>
      </c>
      <c r="U45" s="424">
        <v>6250000</v>
      </c>
      <c r="V45" s="424">
        <v>6250000</v>
      </c>
      <c r="W45" s="424">
        <v>6250000</v>
      </c>
      <c r="X45" s="424">
        <v>6250000</v>
      </c>
      <c r="Y45" s="424">
        <v>5250000</v>
      </c>
      <c r="Z45" s="424">
        <v>5250000</v>
      </c>
      <c r="AA45" s="424">
        <v>5250000</v>
      </c>
      <c r="AB45" s="424">
        <v>5250000</v>
      </c>
      <c r="AC45" s="424">
        <v>4750000</v>
      </c>
      <c r="AD45" s="424">
        <v>4750000</v>
      </c>
      <c r="AE45" s="424">
        <v>4250000</v>
      </c>
      <c r="AF45" s="424">
        <v>4250000</v>
      </c>
      <c r="AG45" s="424">
        <v>3250000</v>
      </c>
      <c r="AH45" s="424">
        <v>3250000</v>
      </c>
      <c r="AI45" s="424">
        <v>2750000</v>
      </c>
      <c r="AJ45" s="424">
        <v>2250000</v>
      </c>
      <c r="AK45" s="424">
        <v>1750000</v>
      </c>
      <c r="AL45" s="424">
        <v>1750000</v>
      </c>
      <c r="AM45" s="424">
        <v>182134000</v>
      </c>
      <c r="AN45" s="424">
        <v>370702500</v>
      </c>
      <c r="AO45" s="424">
        <v>189318500</v>
      </c>
      <c r="AP45" s="424">
        <v>299960000</v>
      </c>
      <c r="AQ45" s="424">
        <v>1157223000</v>
      </c>
      <c r="AR45" s="424">
        <v>1047891500</v>
      </c>
      <c r="AS45" s="424">
        <v>1000000000</v>
      </c>
      <c r="AT45" s="424">
        <v>1585015100</v>
      </c>
      <c r="AU45" s="424">
        <v>1585015100</v>
      </c>
      <c r="AV45" s="424">
        <v>1264313500</v>
      </c>
      <c r="AW45" s="424">
        <v>264313500</v>
      </c>
      <c r="AX45" s="424">
        <v>14710000</v>
      </c>
      <c r="AY45" s="424">
        <v>132874500</v>
      </c>
      <c r="AZ45" s="424">
        <v>186680600</v>
      </c>
      <c r="BA45" s="424">
        <v>85981100</v>
      </c>
      <c r="BB45" s="424">
        <v>10585300</v>
      </c>
      <c r="BC45" s="424">
        <v>380</v>
      </c>
      <c r="BD45" s="424">
        <v>164230000</v>
      </c>
      <c r="BE45" s="424">
        <v>72234000</v>
      </c>
      <c r="BF45" s="424">
        <v>53580700</v>
      </c>
      <c r="BG45" s="424">
        <v>0</v>
      </c>
      <c r="BH45" s="424">
        <v>2200000</v>
      </c>
      <c r="BI45" s="424">
        <v>2200000</v>
      </c>
      <c r="BJ45" s="424">
        <v>0</v>
      </c>
      <c r="BK45" s="424">
        <v>228712000</v>
      </c>
      <c r="BL45" s="424">
        <v>228712000</v>
      </c>
      <c r="BM45" s="424">
        <v>228712000</v>
      </c>
      <c r="BN45" s="424">
        <v>378097500</v>
      </c>
      <c r="BO45" s="424">
        <v>378097500</v>
      </c>
      <c r="BP45" s="424">
        <v>163262000</v>
      </c>
      <c r="BQ45" s="424">
        <v>0</v>
      </c>
      <c r="BR45" s="424">
        <v>0</v>
      </c>
      <c r="BS45" s="424">
        <v>0</v>
      </c>
      <c r="BT45" s="424">
        <v>0</v>
      </c>
      <c r="BU45" s="424">
        <v>0</v>
      </c>
    </row>
    <row r="46" spans="2:73" ht="15.95" customHeight="1">
      <c r="B46" s="1886" t="s">
        <v>192</v>
      </c>
      <c r="C46" s="1873" t="s">
        <v>740</v>
      </c>
      <c r="D46" s="423">
        <v>0</v>
      </c>
      <c r="E46" s="424">
        <v>0</v>
      </c>
      <c r="F46" s="91"/>
      <c r="G46" s="91"/>
      <c r="H46" s="91"/>
      <c r="I46" s="424">
        <v>0</v>
      </c>
      <c r="J46" s="424">
        <v>0</v>
      </c>
      <c r="K46" s="424">
        <v>0</v>
      </c>
      <c r="L46" s="424">
        <v>0</v>
      </c>
      <c r="M46" s="424">
        <v>0</v>
      </c>
      <c r="N46" s="424">
        <v>0</v>
      </c>
      <c r="O46" s="424">
        <v>0</v>
      </c>
      <c r="P46" s="424">
        <v>0</v>
      </c>
      <c r="Q46" s="424">
        <v>0</v>
      </c>
      <c r="R46" s="424">
        <v>0</v>
      </c>
      <c r="S46" s="424">
        <v>0</v>
      </c>
      <c r="T46" s="424">
        <v>0</v>
      </c>
      <c r="U46" s="424">
        <v>0</v>
      </c>
      <c r="V46" s="424">
        <v>0</v>
      </c>
      <c r="W46" s="424">
        <v>0</v>
      </c>
      <c r="X46" s="424">
        <v>0</v>
      </c>
      <c r="Y46" s="424">
        <v>0</v>
      </c>
      <c r="Z46" s="424">
        <v>0</v>
      </c>
      <c r="AA46" s="424">
        <v>0</v>
      </c>
      <c r="AB46" s="424">
        <v>0</v>
      </c>
      <c r="AC46" s="424">
        <v>0</v>
      </c>
      <c r="AD46" s="424">
        <v>0</v>
      </c>
      <c r="AE46" s="424">
        <v>0</v>
      </c>
      <c r="AF46" s="424">
        <v>0</v>
      </c>
      <c r="AG46" s="424">
        <v>0</v>
      </c>
      <c r="AH46" s="424">
        <v>0</v>
      </c>
      <c r="AI46" s="424">
        <v>0</v>
      </c>
      <c r="AJ46" s="424">
        <v>0</v>
      </c>
      <c r="AK46" s="424">
        <v>0</v>
      </c>
      <c r="AL46" s="424">
        <v>0</v>
      </c>
      <c r="AM46" s="424">
        <v>0</v>
      </c>
      <c r="AN46" s="424">
        <v>0</v>
      </c>
      <c r="AO46" s="424">
        <v>0</v>
      </c>
      <c r="AP46" s="424">
        <v>0</v>
      </c>
      <c r="AQ46" s="424">
        <v>0</v>
      </c>
      <c r="AR46" s="424">
        <v>0</v>
      </c>
      <c r="AS46" s="424">
        <v>0</v>
      </c>
      <c r="AT46" s="424">
        <v>0</v>
      </c>
      <c r="AU46" s="424">
        <v>0</v>
      </c>
      <c r="AV46" s="424">
        <v>0</v>
      </c>
      <c r="AW46" s="424">
        <v>0</v>
      </c>
      <c r="AX46" s="424">
        <v>0</v>
      </c>
      <c r="AY46" s="424">
        <v>0</v>
      </c>
      <c r="AZ46" s="424">
        <v>0</v>
      </c>
      <c r="BA46" s="424">
        <v>0</v>
      </c>
      <c r="BB46" s="424">
        <v>0</v>
      </c>
      <c r="BC46" s="424">
        <v>0</v>
      </c>
      <c r="BD46" s="424">
        <v>0</v>
      </c>
      <c r="BE46" s="424">
        <v>0</v>
      </c>
      <c r="BF46" s="424">
        <v>0</v>
      </c>
      <c r="BG46" s="424">
        <v>0</v>
      </c>
      <c r="BH46" s="424">
        <v>0</v>
      </c>
      <c r="BI46" s="424">
        <v>0</v>
      </c>
      <c r="BJ46" s="424">
        <v>0</v>
      </c>
      <c r="BK46" s="424">
        <v>0</v>
      </c>
      <c r="BL46" s="424">
        <v>0</v>
      </c>
      <c r="BM46" s="424">
        <v>0</v>
      </c>
      <c r="BN46" s="424">
        <v>0</v>
      </c>
      <c r="BO46" s="424">
        <v>0</v>
      </c>
      <c r="BP46" s="424">
        <v>0</v>
      </c>
      <c r="BQ46" s="424">
        <v>0</v>
      </c>
      <c r="BR46" s="424">
        <v>0</v>
      </c>
      <c r="BS46" s="424">
        <v>0</v>
      </c>
      <c r="BT46" s="424">
        <v>0</v>
      </c>
      <c r="BU46" s="424">
        <v>0</v>
      </c>
    </row>
    <row r="47" spans="2:73" ht="15.95" customHeight="1">
      <c r="B47" s="1886" t="s">
        <v>193</v>
      </c>
      <c r="C47" s="1874" t="s">
        <v>741</v>
      </c>
      <c r="D47" s="425">
        <v>219659865</v>
      </c>
      <c r="E47" s="426">
        <v>505845769</v>
      </c>
      <c r="F47" s="91"/>
      <c r="G47" s="91"/>
      <c r="H47" s="91"/>
      <c r="I47" s="424">
        <v>450240905</v>
      </c>
      <c r="J47" s="424">
        <v>426008358</v>
      </c>
      <c r="K47" s="424">
        <v>225849815</v>
      </c>
      <c r="L47" s="424">
        <v>505845769</v>
      </c>
      <c r="M47" s="424">
        <v>427038591</v>
      </c>
      <c r="N47" s="424">
        <v>227835822</v>
      </c>
      <c r="O47" s="424">
        <v>487815264</v>
      </c>
      <c r="P47" s="424">
        <v>425618157</v>
      </c>
      <c r="Q47" s="424">
        <v>211964785</v>
      </c>
      <c r="R47" s="424">
        <v>493017231</v>
      </c>
      <c r="S47" s="424">
        <v>427051886</v>
      </c>
      <c r="T47" s="424">
        <v>213364634</v>
      </c>
      <c r="U47" s="424">
        <v>390567200</v>
      </c>
      <c r="V47" s="424">
        <v>403842340</v>
      </c>
      <c r="W47" s="424">
        <v>209172241</v>
      </c>
      <c r="X47" s="424">
        <v>491320526</v>
      </c>
      <c r="Y47" s="424">
        <v>431641432</v>
      </c>
      <c r="Z47" s="424">
        <v>222776563</v>
      </c>
      <c r="AA47" s="424">
        <v>482289032</v>
      </c>
      <c r="AB47" s="424">
        <v>406506169</v>
      </c>
      <c r="AC47" s="424">
        <v>202751223</v>
      </c>
      <c r="AD47" s="424">
        <v>479923256</v>
      </c>
      <c r="AE47" s="424">
        <v>406333420</v>
      </c>
      <c r="AF47" s="424">
        <v>202743403</v>
      </c>
      <c r="AG47" s="424">
        <v>417190476</v>
      </c>
      <c r="AH47" s="424">
        <v>384744237</v>
      </c>
      <c r="AI47" s="424">
        <v>200878405</v>
      </c>
      <c r="AJ47" s="424">
        <v>456833006</v>
      </c>
      <c r="AK47" s="424">
        <v>413738592</v>
      </c>
      <c r="AL47" s="424">
        <v>212519422</v>
      </c>
      <c r="AM47" s="424">
        <v>76104523</v>
      </c>
      <c r="AN47" s="424">
        <v>390148054</v>
      </c>
      <c r="AO47" s="424">
        <v>193055076</v>
      </c>
      <c r="AP47" s="424">
        <v>0</v>
      </c>
      <c r="AQ47" s="424">
        <v>377566473</v>
      </c>
      <c r="AR47" s="424">
        <v>186494808</v>
      </c>
      <c r="AS47" s="424">
        <v>367523299</v>
      </c>
      <c r="AT47" s="424">
        <v>355897432</v>
      </c>
      <c r="AU47" s="424">
        <v>179950915</v>
      </c>
      <c r="AV47" s="424">
        <v>422646556</v>
      </c>
      <c r="AW47" s="424">
        <v>392497999</v>
      </c>
      <c r="AX47" s="424">
        <v>201779506</v>
      </c>
      <c r="AY47" s="424">
        <v>436139925</v>
      </c>
      <c r="AZ47" s="424">
        <v>366161884</v>
      </c>
      <c r="BA47" s="424">
        <v>179163611</v>
      </c>
      <c r="BB47" s="424">
        <v>428880717</v>
      </c>
      <c r="BC47" s="424">
        <v>372039034</v>
      </c>
      <c r="BD47" s="424">
        <v>187881070</v>
      </c>
      <c r="BE47" s="424">
        <v>360242450.33333325</v>
      </c>
      <c r="BF47" s="424">
        <v>347282932</v>
      </c>
      <c r="BG47" s="424">
        <v>180195075</v>
      </c>
      <c r="BH47" s="424">
        <v>444145161</v>
      </c>
      <c r="BI47" s="424">
        <v>386167392</v>
      </c>
      <c r="BJ47" s="424">
        <v>197722407</v>
      </c>
      <c r="BK47" s="424">
        <v>534431191</v>
      </c>
      <c r="BL47" s="424">
        <v>349115324</v>
      </c>
      <c r="BM47" s="424">
        <v>190631698</v>
      </c>
      <c r="BN47" s="424">
        <v>464808872</v>
      </c>
      <c r="BO47" s="424">
        <v>409486287</v>
      </c>
      <c r="BP47" s="424">
        <v>204299477</v>
      </c>
      <c r="BQ47" s="424">
        <v>368136261</v>
      </c>
      <c r="BR47" s="424">
        <v>326443759</v>
      </c>
      <c r="BS47" s="424">
        <v>166349910</v>
      </c>
      <c r="BT47" s="424">
        <v>366797122</v>
      </c>
      <c r="BU47" s="424">
        <v>422185835</v>
      </c>
    </row>
    <row r="48" spans="2:73" ht="15.95" customHeight="1">
      <c r="B48" s="1886" t="s">
        <v>742</v>
      </c>
      <c r="C48" s="1873" t="s">
        <v>743</v>
      </c>
      <c r="D48" s="423">
        <v>0</v>
      </c>
      <c r="E48" s="424">
        <v>0</v>
      </c>
      <c r="F48" s="91"/>
      <c r="G48" s="91"/>
      <c r="H48" s="91"/>
      <c r="I48" s="424">
        <v>0</v>
      </c>
      <c r="J48" s="424">
        <v>0</v>
      </c>
      <c r="K48" s="424">
        <v>0</v>
      </c>
      <c r="L48" s="424">
        <v>0</v>
      </c>
      <c r="M48" s="424">
        <v>0</v>
      </c>
      <c r="N48" s="424">
        <v>0</v>
      </c>
      <c r="O48" s="424">
        <v>0</v>
      </c>
      <c r="P48" s="424">
        <v>0</v>
      </c>
      <c r="Q48" s="424">
        <v>0</v>
      </c>
      <c r="R48" s="424">
        <v>0</v>
      </c>
      <c r="S48" s="424">
        <v>0</v>
      </c>
      <c r="T48" s="424">
        <v>0</v>
      </c>
      <c r="U48" s="424">
        <v>0</v>
      </c>
      <c r="V48" s="424">
        <v>0</v>
      </c>
      <c r="W48" s="424">
        <v>0</v>
      </c>
      <c r="X48" s="424">
        <v>0</v>
      </c>
      <c r="Y48" s="424">
        <v>0</v>
      </c>
      <c r="Z48" s="424">
        <v>0</v>
      </c>
      <c r="AA48" s="424">
        <v>0</v>
      </c>
      <c r="AB48" s="424">
        <v>0</v>
      </c>
      <c r="AC48" s="424">
        <v>0</v>
      </c>
      <c r="AD48" s="424">
        <v>0</v>
      </c>
      <c r="AE48" s="424">
        <v>0</v>
      </c>
      <c r="AF48" s="424">
        <v>0</v>
      </c>
      <c r="AG48" s="424">
        <v>0</v>
      </c>
      <c r="AH48" s="424">
        <v>0</v>
      </c>
      <c r="AI48" s="424">
        <v>0</v>
      </c>
      <c r="AJ48" s="424">
        <v>0</v>
      </c>
      <c r="AK48" s="424">
        <v>0</v>
      </c>
      <c r="AL48" s="424">
        <v>0</v>
      </c>
      <c r="AM48" s="424">
        <v>0</v>
      </c>
      <c r="AN48" s="424">
        <v>0</v>
      </c>
      <c r="AO48" s="424">
        <v>0</v>
      </c>
      <c r="AP48" s="424">
        <v>0</v>
      </c>
      <c r="AQ48" s="424">
        <v>0</v>
      </c>
      <c r="AR48" s="424">
        <v>0</v>
      </c>
      <c r="AS48" s="424">
        <v>0</v>
      </c>
      <c r="AT48" s="424">
        <v>0</v>
      </c>
      <c r="AU48" s="424">
        <v>0</v>
      </c>
      <c r="AV48" s="424">
        <v>0</v>
      </c>
      <c r="AW48" s="424">
        <v>0</v>
      </c>
      <c r="AX48" s="424">
        <v>0</v>
      </c>
      <c r="AY48" s="424">
        <v>0</v>
      </c>
      <c r="AZ48" s="424">
        <v>0</v>
      </c>
      <c r="BA48" s="424">
        <v>0</v>
      </c>
      <c r="BB48" s="424">
        <v>0</v>
      </c>
      <c r="BC48" s="424">
        <v>0</v>
      </c>
      <c r="BD48" s="424">
        <v>0</v>
      </c>
      <c r="BE48" s="424">
        <v>0</v>
      </c>
      <c r="BF48" s="424">
        <v>0</v>
      </c>
      <c r="BG48" s="424">
        <v>0</v>
      </c>
      <c r="BH48" s="424">
        <v>0</v>
      </c>
      <c r="BI48" s="424">
        <v>0</v>
      </c>
      <c r="BJ48" s="424">
        <v>0</v>
      </c>
      <c r="BK48" s="424">
        <v>0</v>
      </c>
      <c r="BL48" s="424">
        <v>0</v>
      </c>
      <c r="BM48" s="424">
        <v>0</v>
      </c>
      <c r="BN48" s="424">
        <v>0</v>
      </c>
      <c r="BO48" s="424">
        <v>0</v>
      </c>
      <c r="BP48" s="424">
        <v>0</v>
      </c>
      <c r="BQ48" s="424">
        <v>0</v>
      </c>
      <c r="BR48" s="424">
        <v>0</v>
      </c>
      <c r="BS48" s="424">
        <v>0</v>
      </c>
      <c r="BT48" s="424">
        <v>0</v>
      </c>
      <c r="BU48" s="424">
        <v>0</v>
      </c>
    </row>
    <row r="49" spans="2:73" ht="15.95" customHeight="1">
      <c r="B49" s="1878" t="s">
        <v>744</v>
      </c>
      <c r="C49" s="1874" t="s">
        <v>745</v>
      </c>
      <c r="D49" s="425">
        <v>0</v>
      </c>
      <c r="E49" s="426">
        <v>0</v>
      </c>
      <c r="F49" s="91"/>
      <c r="G49" s="91"/>
      <c r="H49" s="91"/>
      <c r="I49" s="424">
        <v>0</v>
      </c>
      <c r="J49" s="424">
        <v>0</v>
      </c>
      <c r="K49" s="424">
        <v>0</v>
      </c>
      <c r="L49" s="424">
        <v>0</v>
      </c>
      <c r="M49" s="424">
        <v>0</v>
      </c>
      <c r="N49" s="424">
        <v>0</v>
      </c>
      <c r="O49" s="424">
        <v>0</v>
      </c>
      <c r="P49" s="424">
        <v>0</v>
      </c>
      <c r="Q49" s="424">
        <v>0</v>
      </c>
      <c r="R49" s="424">
        <v>0</v>
      </c>
      <c r="S49" s="424">
        <v>0</v>
      </c>
      <c r="T49" s="424">
        <v>0</v>
      </c>
      <c r="U49" s="424">
        <v>0</v>
      </c>
      <c r="V49" s="424">
        <v>0</v>
      </c>
      <c r="W49" s="424">
        <v>0</v>
      </c>
      <c r="X49" s="424">
        <v>0</v>
      </c>
      <c r="Y49" s="424">
        <v>0</v>
      </c>
      <c r="Z49" s="424">
        <v>0</v>
      </c>
      <c r="AA49" s="424">
        <v>0</v>
      </c>
      <c r="AB49" s="424">
        <v>0</v>
      </c>
      <c r="AC49" s="424">
        <v>0</v>
      </c>
      <c r="AD49" s="424">
        <v>0</v>
      </c>
      <c r="AE49" s="424">
        <v>0</v>
      </c>
      <c r="AF49" s="424">
        <v>0</v>
      </c>
      <c r="AG49" s="424">
        <v>0</v>
      </c>
      <c r="AH49" s="424">
        <v>0</v>
      </c>
      <c r="AI49" s="424">
        <v>0</v>
      </c>
      <c r="AJ49" s="424">
        <v>0</v>
      </c>
      <c r="AK49" s="424">
        <v>0</v>
      </c>
      <c r="AL49" s="424">
        <v>0</v>
      </c>
      <c r="AM49" s="424">
        <v>0</v>
      </c>
      <c r="AN49" s="424">
        <v>0</v>
      </c>
      <c r="AO49" s="424">
        <v>0</v>
      </c>
      <c r="AP49" s="424">
        <v>0</v>
      </c>
      <c r="AQ49" s="424">
        <v>0</v>
      </c>
      <c r="AR49" s="424">
        <v>0</v>
      </c>
      <c r="AS49" s="424">
        <v>0</v>
      </c>
      <c r="AT49" s="424">
        <v>0</v>
      </c>
      <c r="AU49" s="424">
        <v>0</v>
      </c>
      <c r="AV49" s="424">
        <v>0</v>
      </c>
      <c r="AW49" s="424">
        <v>1000000000</v>
      </c>
      <c r="AX49" s="424">
        <v>1000000000</v>
      </c>
      <c r="AY49" s="424"/>
      <c r="AZ49" s="424"/>
      <c r="BA49" s="424"/>
      <c r="BB49" s="424"/>
      <c r="BC49" s="424"/>
      <c r="BD49" s="424"/>
      <c r="BE49" s="424"/>
      <c r="BF49" s="424"/>
      <c r="BG49" s="424"/>
      <c r="BH49" s="424"/>
      <c r="BI49" s="424"/>
      <c r="BJ49" s="424"/>
      <c r="BK49" s="424"/>
      <c r="BL49" s="424"/>
      <c r="BM49" s="424"/>
      <c r="BN49" s="424"/>
      <c r="BO49" s="424"/>
      <c r="BP49" s="424"/>
      <c r="BQ49" s="424"/>
      <c r="BR49" s="424"/>
      <c r="BS49" s="424"/>
      <c r="BT49" s="424"/>
      <c r="BU49" s="424"/>
    </row>
    <row r="50" spans="2:73" ht="15.95" customHeight="1">
      <c r="B50" s="2761" t="s">
        <v>746</v>
      </c>
      <c r="C50" s="2762"/>
      <c r="D50" s="421">
        <f>SUM(D51:D52)</f>
        <v>281996030820</v>
      </c>
      <c r="E50" s="422">
        <v>281941141920</v>
      </c>
      <c r="F50" s="90"/>
      <c r="G50" s="91"/>
      <c r="H50" s="91"/>
      <c r="I50" s="422">
        <v>281937333820</v>
      </c>
      <c r="J50" s="422">
        <v>281937333820</v>
      </c>
      <c r="K50" s="422">
        <v>281937333820</v>
      </c>
      <c r="L50" s="422">
        <v>281941141920</v>
      </c>
      <c r="M50" s="422">
        <v>281941141920</v>
      </c>
      <c r="N50" s="422">
        <v>281941141920</v>
      </c>
      <c r="O50" s="422">
        <v>281941141920</v>
      </c>
      <c r="P50" s="422">
        <v>281941141920</v>
      </c>
      <c r="Q50" s="422">
        <v>281852125020</v>
      </c>
      <c r="R50" s="422">
        <v>281852125020</v>
      </c>
      <c r="S50" s="422">
        <v>281897956520</v>
      </c>
      <c r="T50" s="422">
        <v>281897956520</v>
      </c>
      <c r="U50" s="422">
        <v>281897956520</v>
      </c>
      <c r="V50" s="422">
        <v>281832139520</v>
      </c>
      <c r="W50" s="422">
        <v>281832139520</v>
      </c>
      <c r="X50" s="422">
        <v>281785285520</v>
      </c>
      <c r="Y50" s="422">
        <v>282262641520</v>
      </c>
      <c r="Z50" s="422">
        <v>282321381520</v>
      </c>
      <c r="AA50" s="422">
        <v>282321381520</v>
      </c>
      <c r="AB50" s="422">
        <v>282321381520</v>
      </c>
      <c r="AC50" s="422">
        <v>282321381520</v>
      </c>
      <c r="AD50" s="422">
        <v>282321381520</v>
      </c>
      <c r="AE50" s="422">
        <v>282299941520</v>
      </c>
      <c r="AF50" s="422">
        <v>282297781520</v>
      </c>
      <c r="AG50" s="422">
        <v>282297781520</v>
      </c>
      <c r="AH50" s="422">
        <v>282253671520</v>
      </c>
      <c r="AI50" s="422">
        <v>282253671520</v>
      </c>
      <c r="AJ50" s="422">
        <v>282356961520</v>
      </c>
      <c r="AK50" s="422">
        <v>283474136520</v>
      </c>
      <c r="AL50" s="422">
        <v>283474136520</v>
      </c>
      <c r="AM50" s="422">
        <v>283385290520</v>
      </c>
      <c r="AN50" s="422">
        <v>283196722020</v>
      </c>
      <c r="AO50" s="422">
        <v>283273240020</v>
      </c>
      <c r="AP50" s="422">
        <v>283161848520</v>
      </c>
      <c r="AQ50" s="422">
        <v>240982017020</v>
      </c>
      <c r="AR50" s="422">
        <v>240979957020</v>
      </c>
      <c r="AS50" s="422">
        <v>240998674120</v>
      </c>
      <c r="AT50" s="422">
        <v>240413659020</v>
      </c>
      <c r="AU50" s="422">
        <v>240565043020</v>
      </c>
      <c r="AV50" s="422">
        <v>240565043020</v>
      </c>
      <c r="AW50" s="422">
        <v>241565043020</v>
      </c>
      <c r="AX50" s="422">
        <v>241877653220</v>
      </c>
      <c r="AY50" s="422">
        <v>240744778720</v>
      </c>
      <c r="AZ50" s="422">
        <v>240690972620</v>
      </c>
      <c r="BA50" s="422">
        <v>240658797620</v>
      </c>
      <c r="BB50" s="422">
        <v>240552944620</v>
      </c>
      <c r="BC50" s="422">
        <v>240872296420</v>
      </c>
      <c r="BD50" s="422">
        <v>240706106420</v>
      </c>
      <c r="BE50" s="422">
        <v>240633872420</v>
      </c>
      <c r="BF50" s="422">
        <v>240608866720</v>
      </c>
      <c r="BG50" s="422">
        <v>240608866720</v>
      </c>
      <c r="BH50" s="422">
        <v>240658066720</v>
      </c>
      <c r="BI50" s="422">
        <v>240658066720</v>
      </c>
      <c r="BJ50" s="422">
        <v>240658066720</v>
      </c>
      <c r="BK50" s="422">
        <v>240429354720</v>
      </c>
      <c r="BL50" s="422">
        <v>240429354720</v>
      </c>
      <c r="BM50" s="422">
        <v>240429354720</v>
      </c>
      <c r="BN50" s="422">
        <v>240279969220</v>
      </c>
      <c r="BO50" s="422">
        <v>240279969220</v>
      </c>
      <c r="BP50" s="422">
        <v>240266092720</v>
      </c>
      <c r="BQ50" s="422">
        <v>240266092720</v>
      </c>
      <c r="BR50" s="422">
        <v>240165156720</v>
      </c>
      <c r="BS50" s="422">
        <v>240165156720</v>
      </c>
      <c r="BT50" s="422">
        <v>240144629620</v>
      </c>
      <c r="BU50" s="422">
        <v>239425801620</v>
      </c>
    </row>
    <row r="51" spans="2:73" ht="15.95" customHeight="1">
      <c r="B51" s="1878" t="s">
        <v>727</v>
      </c>
      <c r="C51" s="1873" t="s">
        <v>747</v>
      </c>
      <c r="D51" s="423">
        <v>268000000000</v>
      </c>
      <c r="E51" s="424">
        <v>268000000000</v>
      </c>
      <c r="F51" s="91"/>
      <c r="G51" s="91"/>
      <c r="H51" s="91"/>
      <c r="I51" s="424">
        <v>268000000000</v>
      </c>
      <c r="J51" s="424">
        <v>268000000000</v>
      </c>
      <c r="K51" s="424">
        <v>268000000000</v>
      </c>
      <c r="L51" s="424">
        <v>268000000000</v>
      </c>
      <c r="M51" s="424">
        <v>268000000000</v>
      </c>
      <c r="N51" s="424">
        <v>268000000000</v>
      </c>
      <c r="O51" s="424">
        <v>268000000000</v>
      </c>
      <c r="P51" s="424">
        <v>268000000000</v>
      </c>
      <c r="Q51" s="424">
        <v>268000000000</v>
      </c>
      <c r="R51" s="424">
        <v>268000000000</v>
      </c>
      <c r="S51" s="424">
        <v>268000000000</v>
      </c>
      <c r="T51" s="424">
        <v>268000000000</v>
      </c>
      <c r="U51" s="424">
        <v>268000000000</v>
      </c>
      <c r="V51" s="424">
        <v>268000000000</v>
      </c>
      <c r="W51" s="424">
        <v>268000000000</v>
      </c>
      <c r="X51" s="424">
        <v>268000000000</v>
      </c>
      <c r="Y51" s="424">
        <v>268000000000</v>
      </c>
      <c r="Z51" s="424">
        <v>268000000000</v>
      </c>
      <c r="AA51" s="424">
        <v>268000000000</v>
      </c>
      <c r="AB51" s="424">
        <v>268000000000</v>
      </c>
      <c r="AC51" s="424">
        <v>268000000000</v>
      </c>
      <c r="AD51" s="424">
        <v>268000000000</v>
      </c>
      <c r="AE51" s="424">
        <v>268000000000</v>
      </c>
      <c r="AF51" s="424">
        <v>268000000000</v>
      </c>
      <c r="AG51" s="424">
        <v>268000000000</v>
      </c>
      <c r="AH51" s="424">
        <v>268000000000</v>
      </c>
      <c r="AI51" s="424">
        <v>268000000000</v>
      </c>
      <c r="AJ51" s="424">
        <v>268000000000</v>
      </c>
      <c r="AK51" s="424">
        <v>268000000000</v>
      </c>
      <c r="AL51" s="424">
        <v>268000000000</v>
      </c>
      <c r="AM51" s="424">
        <v>268000000000</v>
      </c>
      <c r="AN51" s="424">
        <v>268000000000</v>
      </c>
      <c r="AO51" s="424">
        <v>268000000000</v>
      </c>
      <c r="AP51" s="424">
        <v>268000000000</v>
      </c>
      <c r="AQ51" s="424">
        <v>225866000000</v>
      </c>
      <c r="AR51" s="424">
        <v>225866000000</v>
      </c>
      <c r="AS51" s="424">
        <v>225866000000</v>
      </c>
      <c r="AT51" s="424">
        <v>225866000000</v>
      </c>
      <c r="AU51" s="424">
        <v>225866000000</v>
      </c>
      <c r="AV51" s="424">
        <v>225866000000</v>
      </c>
      <c r="AW51" s="424">
        <v>225866000000</v>
      </c>
      <c r="AX51" s="424">
        <v>225866000000</v>
      </c>
      <c r="AY51" s="424">
        <v>225866000000</v>
      </c>
      <c r="AZ51" s="424">
        <v>225866000000</v>
      </c>
      <c r="BA51" s="424">
        <v>225866000000</v>
      </c>
      <c r="BB51" s="424">
        <v>225866000000</v>
      </c>
      <c r="BC51" s="424">
        <v>225866000000</v>
      </c>
      <c r="BD51" s="424">
        <v>225866000000</v>
      </c>
      <c r="BE51" s="424">
        <v>225866000000</v>
      </c>
      <c r="BF51" s="424">
        <v>225866000000</v>
      </c>
      <c r="BG51" s="424">
        <v>225866000000</v>
      </c>
      <c r="BH51" s="424">
        <v>225866000000</v>
      </c>
      <c r="BI51" s="424">
        <v>225866000000</v>
      </c>
      <c r="BJ51" s="424">
        <v>225866000000</v>
      </c>
      <c r="BK51" s="424">
        <v>225866000000</v>
      </c>
      <c r="BL51" s="424">
        <v>225866000000</v>
      </c>
      <c r="BM51" s="424">
        <v>225866000000</v>
      </c>
      <c r="BN51" s="424">
        <v>225866000000</v>
      </c>
      <c r="BO51" s="424">
        <v>225866000000</v>
      </c>
      <c r="BP51" s="424">
        <v>225866000000</v>
      </c>
      <c r="BQ51" s="424">
        <v>225866000000</v>
      </c>
      <c r="BR51" s="424">
        <v>225866000000</v>
      </c>
      <c r="BS51" s="424">
        <v>225866000000</v>
      </c>
      <c r="BT51" s="424">
        <v>225866000000</v>
      </c>
      <c r="BU51" s="424">
        <v>225866000000</v>
      </c>
    </row>
    <row r="52" spans="2:73" ht="15.95" customHeight="1">
      <c r="B52" s="1878" t="s">
        <v>748</v>
      </c>
      <c r="C52" s="1874" t="s">
        <v>749</v>
      </c>
      <c r="D52" s="436">
        <v>13996030820</v>
      </c>
      <c r="E52" s="426">
        <v>13941141920</v>
      </c>
      <c r="F52" s="91"/>
      <c r="G52" s="91"/>
      <c r="H52" s="91"/>
      <c r="I52" s="424">
        <v>13937333820</v>
      </c>
      <c r="J52" s="424">
        <v>13937333820</v>
      </c>
      <c r="K52" s="424">
        <v>13937333820</v>
      </c>
      <c r="L52" s="424">
        <v>13941141920</v>
      </c>
      <c r="M52" s="424">
        <v>13941141920</v>
      </c>
      <c r="N52" s="424">
        <v>13941141920</v>
      </c>
      <c r="O52" s="424">
        <v>13941141920</v>
      </c>
      <c r="P52" s="424">
        <v>13941141920</v>
      </c>
      <c r="Q52" s="424">
        <v>13852125020</v>
      </c>
      <c r="R52" s="424">
        <v>13852125020</v>
      </c>
      <c r="S52" s="424">
        <v>13897956520</v>
      </c>
      <c r="T52" s="424">
        <v>13897956520</v>
      </c>
      <c r="U52" s="424">
        <v>13897956520</v>
      </c>
      <c r="V52" s="424">
        <v>13832139520</v>
      </c>
      <c r="W52" s="424">
        <v>13832139520</v>
      </c>
      <c r="X52" s="424">
        <v>13785285520</v>
      </c>
      <c r="Y52" s="424">
        <v>14262641520</v>
      </c>
      <c r="Z52" s="424">
        <v>14321381520</v>
      </c>
      <c r="AA52" s="424">
        <v>14321381520</v>
      </c>
      <c r="AB52" s="424">
        <v>14321381520</v>
      </c>
      <c r="AC52" s="424">
        <v>14321381520</v>
      </c>
      <c r="AD52" s="424">
        <v>14321381520</v>
      </c>
      <c r="AE52" s="424">
        <v>14299941520</v>
      </c>
      <c r="AF52" s="424">
        <v>14297781520</v>
      </c>
      <c r="AG52" s="424">
        <v>14297781520</v>
      </c>
      <c r="AH52" s="424">
        <v>14253671520</v>
      </c>
      <c r="AI52" s="424">
        <v>14253671520</v>
      </c>
      <c r="AJ52" s="424">
        <v>14356961520</v>
      </c>
      <c r="AK52" s="424">
        <v>15474136520</v>
      </c>
      <c r="AL52" s="424">
        <v>15474136520</v>
      </c>
      <c r="AM52" s="424">
        <v>15385290520</v>
      </c>
      <c r="AN52" s="424">
        <v>15196722020</v>
      </c>
      <c r="AO52" s="424">
        <v>15273240020</v>
      </c>
      <c r="AP52" s="424">
        <v>15161848520</v>
      </c>
      <c r="AQ52" s="424">
        <v>15116017020</v>
      </c>
      <c r="AR52" s="424">
        <v>15113957020</v>
      </c>
      <c r="AS52" s="424">
        <v>15132674120</v>
      </c>
      <c r="AT52" s="424">
        <v>14547659020</v>
      </c>
      <c r="AU52" s="424">
        <v>14699043020</v>
      </c>
      <c r="AV52" s="424">
        <v>14699043020</v>
      </c>
      <c r="AW52" s="424">
        <v>14699043020</v>
      </c>
      <c r="AX52" s="424">
        <v>15011653220</v>
      </c>
      <c r="AY52" s="424">
        <v>14878778720</v>
      </c>
      <c r="AZ52" s="424">
        <v>14824972620</v>
      </c>
      <c r="BA52" s="424">
        <v>14792797620</v>
      </c>
      <c r="BB52" s="424">
        <v>14686944620</v>
      </c>
      <c r="BC52" s="424">
        <v>15006296420</v>
      </c>
      <c r="BD52" s="424">
        <v>14840106420</v>
      </c>
      <c r="BE52" s="424">
        <v>14767872420</v>
      </c>
      <c r="BF52" s="424">
        <v>14742866720</v>
      </c>
      <c r="BG52" s="424">
        <v>14742866720</v>
      </c>
      <c r="BH52" s="424">
        <v>14792066720</v>
      </c>
      <c r="BI52" s="424">
        <v>14792066720</v>
      </c>
      <c r="BJ52" s="424">
        <v>14792066720</v>
      </c>
      <c r="BK52" s="424">
        <v>14563354720</v>
      </c>
      <c r="BL52" s="424">
        <v>14563354720</v>
      </c>
      <c r="BM52" s="424">
        <v>14563354720</v>
      </c>
      <c r="BN52" s="424">
        <v>14413969220</v>
      </c>
      <c r="BO52" s="424">
        <v>14413969220</v>
      </c>
      <c r="BP52" s="424">
        <v>14400092720</v>
      </c>
      <c r="BQ52" s="424">
        <v>14400092720</v>
      </c>
      <c r="BR52" s="424">
        <v>14299156720</v>
      </c>
      <c r="BS52" s="424">
        <v>14299156720</v>
      </c>
      <c r="BT52" s="424">
        <v>14278629620</v>
      </c>
      <c r="BU52" s="424">
        <v>13559801620</v>
      </c>
    </row>
    <row r="53" spans="2:73" ht="15.95" customHeight="1">
      <c r="B53" s="2757" t="s">
        <v>750</v>
      </c>
      <c r="C53" s="2758"/>
      <c r="D53" s="901">
        <f>SUM(D33,D50)</f>
        <v>284070124270</v>
      </c>
      <c r="E53" s="902">
        <v>283960531961</v>
      </c>
      <c r="F53" s="90"/>
      <c r="G53" s="91"/>
      <c r="H53" s="90"/>
      <c r="I53" s="902">
        <v>283854619863</v>
      </c>
      <c r="J53" s="902">
        <v>285342339866</v>
      </c>
      <c r="K53" s="902">
        <v>284382778856</v>
      </c>
      <c r="L53" s="902">
        <v>283960531961</v>
      </c>
      <c r="M53" s="902">
        <v>284768491925</v>
      </c>
      <c r="N53" s="902">
        <v>283977455033</v>
      </c>
      <c r="O53" s="902">
        <v>283466721442</v>
      </c>
      <c r="P53" s="902">
        <v>284639749618</v>
      </c>
      <c r="Q53" s="902">
        <v>283717990206</v>
      </c>
      <c r="R53" s="902">
        <v>283582707289</v>
      </c>
      <c r="S53" s="902">
        <v>284996833107</v>
      </c>
      <c r="T53" s="902">
        <v>284198751249</v>
      </c>
      <c r="U53" s="902">
        <v>283724551805</v>
      </c>
      <c r="V53" s="902">
        <v>284930225016</v>
      </c>
      <c r="W53" s="902">
        <v>283949108644</v>
      </c>
      <c r="X53" s="902">
        <v>283799943658</v>
      </c>
      <c r="Y53" s="902">
        <v>285084092577</v>
      </c>
      <c r="Z53" s="902">
        <v>284309935287</v>
      </c>
      <c r="AA53" s="902">
        <v>283847246715</v>
      </c>
      <c r="AB53" s="902">
        <v>284926797827</v>
      </c>
      <c r="AC53" s="902">
        <v>284044459809</v>
      </c>
      <c r="AD53" s="902">
        <v>283920683815</v>
      </c>
      <c r="AE53" s="902">
        <v>285290270028</v>
      </c>
      <c r="AF53" s="902">
        <v>284376142008</v>
      </c>
      <c r="AG53" s="902">
        <v>284046540194</v>
      </c>
      <c r="AH53" s="902">
        <v>285187404552</v>
      </c>
      <c r="AI53" s="902">
        <v>284287261637</v>
      </c>
      <c r="AJ53" s="902">
        <v>284137795087</v>
      </c>
      <c r="AK53" s="902">
        <v>286210667646</v>
      </c>
      <c r="AL53" s="902">
        <v>285424012323</v>
      </c>
      <c r="AM53" s="902">
        <v>284611436591</v>
      </c>
      <c r="AN53" s="902">
        <v>286136801386</v>
      </c>
      <c r="AO53" s="902">
        <v>285305299016</v>
      </c>
      <c r="AP53" s="902">
        <v>284497651521</v>
      </c>
      <c r="AQ53" s="902">
        <v>243939812128</v>
      </c>
      <c r="AR53" s="902">
        <v>245133946753</v>
      </c>
      <c r="AS53" s="902">
        <v>244626345509</v>
      </c>
      <c r="AT53" s="902">
        <v>243814044863</v>
      </c>
      <c r="AU53" s="902">
        <v>244864299165</v>
      </c>
      <c r="AV53" s="902">
        <v>244325712639</v>
      </c>
      <c r="AW53" s="902">
        <v>243446885850</v>
      </c>
      <c r="AX53" s="902">
        <v>244653376369</v>
      </c>
      <c r="AY53" s="902">
        <v>243230573261</v>
      </c>
      <c r="AZ53" s="902">
        <v>242372502546</v>
      </c>
      <c r="BA53" s="902">
        <v>243190731738</v>
      </c>
      <c r="BB53" s="902">
        <v>242984003298</v>
      </c>
      <c r="BC53" s="902">
        <v>242646973518</v>
      </c>
      <c r="BD53" s="902">
        <v>243604617057</v>
      </c>
      <c r="BE53" s="902">
        <v>243312209984.33334</v>
      </c>
      <c r="BF53" s="902">
        <v>242419385407</v>
      </c>
      <c r="BG53" s="902">
        <v>243280079130</v>
      </c>
      <c r="BH53" s="902">
        <v>243084688767</v>
      </c>
      <c r="BI53" s="902">
        <v>242253306045</v>
      </c>
      <c r="BJ53" s="902">
        <v>243219348716</v>
      </c>
      <c r="BK53" s="902">
        <v>243150418161</v>
      </c>
      <c r="BL53" s="902">
        <v>242080797258</v>
      </c>
      <c r="BM53" s="902">
        <v>243143282863</v>
      </c>
      <c r="BN53" s="902">
        <v>243123704509</v>
      </c>
      <c r="BO53" s="902">
        <v>242523759490</v>
      </c>
      <c r="BP53" s="902">
        <v>243230071493</v>
      </c>
      <c r="BQ53" s="902">
        <v>242897394438</v>
      </c>
      <c r="BR53" s="902">
        <v>241949814083</v>
      </c>
      <c r="BS53" s="902">
        <v>242775946279</v>
      </c>
      <c r="BT53" s="902">
        <v>242515966086</v>
      </c>
      <c r="BU53" s="902">
        <v>241813379151</v>
      </c>
    </row>
    <row r="54" spans="2:73" ht="15.95" customHeight="1">
      <c r="B54" s="2761" t="s">
        <v>751</v>
      </c>
      <c r="C54" s="2762"/>
      <c r="D54" s="423"/>
      <c r="E54" s="424"/>
      <c r="F54" s="91"/>
      <c r="G54" s="91"/>
      <c r="H54" s="91"/>
      <c r="I54" s="424"/>
      <c r="J54" s="424"/>
      <c r="K54" s="424"/>
      <c r="L54" s="424"/>
      <c r="M54" s="424"/>
      <c r="N54" s="424"/>
      <c r="O54" s="424"/>
      <c r="P54" s="424"/>
      <c r="Q54" s="424"/>
      <c r="R54" s="424"/>
      <c r="S54" s="424"/>
      <c r="T54" s="424"/>
      <c r="U54" s="424"/>
      <c r="V54" s="424"/>
      <c r="W54" s="424"/>
      <c r="X54" s="424"/>
      <c r="Y54" s="424"/>
      <c r="Z54" s="424"/>
      <c r="AA54" s="424"/>
      <c r="AB54" s="424"/>
      <c r="AC54" s="424"/>
      <c r="AD54" s="424"/>
      <c r="AE54" s="424"/>
      <c r="AF54" s="424"/>
      <c r="AG54" s="424"/>
      <c r="AH54" s="424"/>
      <c r="AI54" s="424"/>
      <c r="AJ54" s="424"/>
      <c r="AK54" s="424"/>
      <c r="AL54" s="424"/>
      <c r="AM54" s="424"/>
      <c r="AN54" s="424"/>
      <c r="AO54" s="424"/>
      <c r="AP54" s="424"/>
      <c r="AQ54" s="424"/>
      <c r="AR54" s="424"/>
      <c r="AS54" s="424"/>
      <c r="AT54" s="424"/>
      <c r="AU54" s="424"/>
      <c r="AV54" s="424"/>
      <c r="AW54" s="424"/>
      <c r="AX54" s="424"/>
      <c r="AY54" s="424"/>
      <c r="AZ54" s="424"/>
      <c r="BA54" s="424"/>
      <c r="BB54" s="424"/>
      <c r="BC54" s="424"/>
      <c r="BD54" s="424"/>
      <c r="BE54" s="424"/>
      <c r="BF54" s="424"/>
      <c r="BG54" s="424"/>
      <c r="BH54" s="424"/>
      <c r="BI54" s="424"/>
      <c r="BJ54" s="424"/>
      <c r="BK54" s="424"/>
      <c r="BL54" s="424"/>
      <c r="BM54" s="424"/>
      <c r="BN54" s="424"/>
      <c r="BO54" s="424"/>
      <c r="BP54" s="424"/>
      <c r="BQ54" s="424"/>
      <c r="BR54" s="424"/>
      <c r="BS54" s="424"/>
      <c r="BT54" s="424"/>
      <c r="BU54" s="424"/>
    </row>
    <row r="55" spans="2:73" ht="15.95" customHeight="1">
      <c r="B55" s="2761" t="s">
        <v>752</v>
      </c>
      <c r="C55" s="2762"/>
      <c r="D55" s="421">
        <f>SUM(D56:D58)</f>
        <v>12700000000</v>
      </c>
      <c r="E55" s="422">
        <v>12700000000</v>
      </c>
      <c r="F55" s="90"/>
      <c r="G55" s="91"/>
      <c r="H55" s="90"/>
      <c r="I55" s="422">
        <v>12700000000</v>
      </c>
      <c r="J55" s="422">
        <v>12700000000</v>
      </c>
      <c r="K55" s="422">
        <v>12700000000</v>
      </c>
      <c r="L55" s="422">
        <v>12700000000</v>
      </c>
      <c r="M55" s="422">
        <v>12700000000</v>
      </c>
      <c r="N55" s="422">
        <v>12700000000</v>
      </c>
      <c r="O55" s="422">
        <v>12700000000</v>
      </c>
      <c r="P55" s="422">
        <v>12700000000</v>
      </c>
      <c r="Q55" s="422">
        <v>12700000000</v>
      </c>
      <c r="R55" s="422">
        <v>12700000000</v>
      </c>
      <c r="S55" s="422">
        <v>12700000000</v>
      </c>
      <c r="T55" s="422">
        <v>12700000000</v>
      </c>
      <c r="U55" s="422">
        <v>12700000000</v>
      </c>
      <c r="V55" s="422">
        <v>12700000000</v>
      </c>
      <c r="W55" s="422">
        <v>12700000000</v>
      </c>
      <c r="X55" s="422">
        <v>12700000000</v>
      </c>
      <c r="Y55" s="422">
        <v>12700000000</v>
      </c>
      <c r="Z55" s="422">
        <v>12700000000</v>
      </c>
      <c r="AA55" s="422">
        <v>12700000000</v>
      </c>
      <c r="AB55" s="422">
        <v>12700000000</v>
      </c>
      <c r="AC55" s="422">
        <v>12700000000</v>
      </c>
      <c r="AD55" s="422">
        <v>12700000000</v>
      </c>
      <c r="AE55" s="422">
        <v>12700000000</v>
      </c>
      <c r="AF55" s="422">
        <v>12700000000</v>
      </c>
      <c r="AG55" s="422">
        <v>12700000000</v>
      </c>
      <c r="AH55" s="422">
        <v>12700000000</v>
      </c>
      <c r="AI55" s="422">
        <v>12700000000</v>
      </c>
      <c r="AJ55" s="422">
        <v>12700000000</v>
      </c>
      <c r="AK55" s="422">
        <v>12700000000</v>
      </c>
      <c r="AL55" s="422">
        <v>12700000000</v>
      </c>
      <c r="AM55" s="422">
        <v>12700000000</v>
      </c>
      <c r="AN55" s="422">
        <v>12700000000</v>
      </c>
      <c r="AO55" s="422">
        <v>12700000000</v>
      </c>
      <c r="AP55" s="422">
        <v>12700000000</v>
      </c>
      <c r="AQ55" s="422">
        <v>22350000000</v>
      </c>
      <c r="AR55" s="422">
        <v>22350000000</v>
      </c>
      <c r="AS55" s="422">
        <v>22350000000</v>
      </c>
      <c r="AT55" s="422">
        <v>22350000000</v>
      </c>
      <c r="AU55" s="422">
        <v>22350000000</v>
      </c>
      <c r="AV55" s="422">
        <v>22350000000</v>
      </c>
      <c r="AW55" s="422">
        <v>22350000000</v>
      </c>
      <c r="AX55" s="422">
        <v>22350000000</v>
      </c>
      <c r="AY55" s="422">
        <v>22350000000</v>
      </c>
      <c r="AZ55" s="422">
        <v>22350000000</v>
      </c>
      <c r="BA55" s="422">
        <v>22350000000</v>
      </c>
      <c r="BB55" s="422">
        <v>22350000000</v>
      </c>
      <c r="BC55" s="422">
        <v>22350000000</v>
      </c>
      <c r="BD55" s="422">
        <v>22350000000</v>
      </c>
      <c r="BE55" s="422">
        <v>22350000000</v>
      </c>
      <c r="BF55" s="422">
        <v>22350000000</v>
      </c>
      <c r="BG55" s="422">
        <v>22350000000</v>
      </c>
      <c r="BH55" s="422">
        <v>22350000000</v>
      </c>
      <c r="BI55" s="422">
        <v>22350000000</v>
      </c>
      <c r="BJ55" s="422">
        <v>22350000000</v>
      </c>
      <c r="BK55" s="422">
        <v>22350000000</v>
      </c>
      <c r="BL55" s="422">
        <v>22350000000</v>
      </c>
      <c r="BM55" s="422">
        <v>22350000000</v>
      </c>
      <c r="BN55" s="422">
        <v>22350000000</v>
      </c>
      <c r="BO55" s="422">
        <v>22350000000</v>
      </c>
      <c r="BP55" s="422">
        <v>22350000000</v>
      </c>
      <c r="BQ55" s="422">
        <v>22350000000</v>
      </c>
      <c r="BR55" s="422">
        <v>22350000000</v>
      </c>
      <c r="BS55" s="422">
        <v>22350000000</v>
      </c>
      <c r="BT55" s="422">
        <v>22350000000</v>
      </c>
      <c r="BU55" s="422">
        <v>22350000000</v>
      </c>
    </row>
    <row r="56" spans="2:73" ht="15.95" customHeight="1">
      <c r="B56" s="1872" t="s">
        <v>707</v>
      </c>
      <c r="C56" s="1873" t="s">
        <v>753</v>
      </c>
      <c r="D56" s="423">
        <v>1500000000</v>
      </c>
      <c r="E56" s="424">
        <v>1500000000</v>
      </c>
      <c r="F56" s="91"/>
      <c r="G56" s="91"/>
      <c r="H56" s="91"/>
      <c r="I56" s="424">
        <v>1500000000</v>
      </c>
      <c r="J56" s="424">
        <v>1500000000</v>
      </c>
      <c r="K56" s="424">
        <v>1500000000</v>
      </c>
      <c r="L56" s="424">
        <v>1500000000</v>
      </c>
      <c r="M56" s="424">
        <v>1500000000</v>
      </c>
      <c r="N56" s="424">
        <v>1500000000</v>
      </c>
      <c r="O56" s="424">
        <v>1500000000</v>
      </c>
      <c r="P56" s="424">
        <v>1500000000</v>
      </c>
      <c r="Q56" s="424">
        <v>1500000000</v>
      </c>
      <c r="R56" s="424">
        <v>1500000000</v>
      </c>
      <c r="S56" s="424">
        <v>1500000000</v>
      </c>
      <c r="T56" s="424">
        <v>1500000000</v>
      </c>
      <c r="U56" s="424">
        <v>1500000000</v>
      </c>
      <c r="V56" s="424">
        <v>1500000000</v>
      </c>
      <c r="W56" s="424">
        <v>1500000000</v>
      </c>
      <c r="X56" s="424">
        <v>1500000000</v>
      </c>
      <c r="Y56" s="424">
        <v>1500000000</v>
      </c>
      <c r="Z56" s="424">
        <v>1500000000</v>
      </c>
      <c r="AA56" s="424">
        <v>1500000000</v>
      </c>
      <c r="AB56" s="424">
        <v>1500000000</v>
      </c>
      <c r="AC56" s="424">
        <v>1500000000</v>
      </c>
      <c r="AD56" s="424">
        <v>1500000000</v>
      </c>
      <c r="AE56" s="424">
        <v>1500000000</v>
      </c>
      <c r="AF56" s="424">
        <v>1500000000</v>
      </c>
      <c r="AG56" s="424">
        <v>1500000000</v>
      </c>
      <c r="AH56" s="424">
        <v>1500000000</v>
      </c>
      <c r="AI56" s="424">
        <v>1500000000</v>
      </c>
      <c r="AJ56" s="424">
        <v>1500000000</v>
      </c>
      <c r="AK56" s="424">
        <v>1500000000</v>
      </c>
      <c r="AL56" s="424">
        <v>1500000000</v>
      </c>
      <c r="AM56" s="424">
        <v>1500000000</v>
      </c>
      <c r="AN56" s="424">
        <v>1500000000</v>
      </c>
      <c r="AO56" s="424">
        <v>1500000000</v>
      </c>
      <c r="AP56" s="424">
        <v>1500000000</v>
      </c>
      <c r="AQ56" s="424">
        <v>1250000000</v>
      </c>
      <c r="AR56" s="424">
        <v>1250000000</v>
      </c>
      <c r="AS56" s="424">
        <v>1250000000</v>
      </c>
      <c r="AT56" s="424">
        <v>1250000000</v>
      </c>
      <c r="AU56" s="424">
        <v>1250000000</v>
      </c>
      <c r="AV56" s="424">
        <v>1250000000</v>
      </c>
      <c r="AW56" s="424">
        <v>1250000000</v>
      </c>
      <c r="AX56" s="424">
        <v>1250000000</v>
      </c>
      <c r="AY56" s="424">
        <v>1250000000</v>
      </c>
      <c r="AZ56" s="424">
        <v>1250000000</v>
      </c>
      <c r="BA56" s="424">
        <v>1250000000</v>
      </c>
      <c r="BB56" s="424">
        <v>1250000000</v>
      </c>
      <c r="BC56" s="424">
        <v>1250000000</v>
      </c>
      <c r="BD56" s="424">
        <v>1250000000</v>
      </c>
      <c r="BE56" s="424">
        <v>1250000000</v>
      </c>
      <c r="BF56" s="424">
        <v>1250000000</v>
      </c>
      <c r="BG56" s="424">
        <v>1250000000</v>
      </c>
      <c r="BH56" s="424">
        <v>1250000000</v>
      </c>
      <c r="BI56" s="424">
        <v>1250000000</v>
      </c>
      <c r="BJ56" s="424">
        <v>1250000000</v>
      </c>
      <c r="BK56" s="424">
        <v>1250000000</v>
      </c>
      <c r="BL56" s="424">
        <v>1250000000</v>
      </c>
      <c r="BM56" s="424">
        <v>1250000000</v>
      </c>
      <c r="BN56" s="424">
        <v>1250000000</v>
      </c>
      <c r="BO56" s="424">
        <v>1250000000</v>
      </c>
      <c r="BP56" s="424">
        <v>1250000000</v>
      </c>
      <c r="BQ56" s="424">
        <v>1250000000</v>
      </c>
      <c r="BR56" s="424">
        <v>1250000000</v>
      </c>
      <c r="BS56" s="424">
        <v>1250000000</v>
      </c>
      <c r="BT56" s="424">
        <v>1250000000</v>
      </c>
      <c r="BU56" s="424">
        <v>1250000000</v>
      </c>
    </row>
    <row r="57" spans="2:73" ht="15.95" customHeight="1">
      <c r="B57" s="1872" t="s">
        <v>709</v>
      </c>
      <c r="C57" s="1873" t="s">
        <v>754</v>
      </c>
      <c r="D57" s="423">
        <v>9200000000</v>
      </c>
      <c r="E57" s="424">
        <v>9200000000</v>
      </c>
      <c r="F57" s="91"/>
      <c r="G57" s="91"/>
      <c r="H57" s="91"/>
      <c r="I57" s="424">
        <v>9200000000</v>
      </c>
      <c r="J57" s="424">
        <v>9200000000</v>
      </c>
      <c r="K57" s="424">
        <v>9200000000</v>
      </c>
      <c r="L57" s="424">
        <v>9200000000</v>
      </c>
      <c r="M57" s="424">
        <v>9200000000</v>
      </c>
      <c r="N57" s="424">
        <v>9200000000</v>
      </c>
      <c r="O57" s="424">
        <v>9200000000</v>
      </c>
      <c r="P57" s="424">
        <v>9200000000</v>
      </c>
      <c r="Q57" s="424">
        <v>9200000000</v>
      </c>
      <c r="R57" s="424">
        <v>9200000000</v>
      </c>
      <c r="S57" s="424">
        <v>9200000000</v>
      </c>
      <c r="T57" s="424">
        <v>9200000000</v>
      </c>
      <c r="U57" s="424">
        <v>9200000000</v>
      </c>
      <c r="V57" s="424">
        <v>9200000000</v>
      </c>
      <c r="W57" s="424">
        <v>9200000000</v>
      </c>
      <c r="X57" s="424">
        <v>9200000000</v>
      </c>
      <c r="Y57" s="424">
        <v>9200000000</v>
      </c>
      <c r="Z57" s="424">
        <v>9200000000</v>
      </c>
      <c r="AA57" s="424">
        <v>9200000000</v>
      </c>
      <c r="AB57" s="424">
        <v>9200000000</v>
      </c>
      <c r="AC57" s="424">
        <v>9200000000</v>
      </c>
      <c r="AD57" s="424">
        <v>9200000000</v>
      </c>
      <c r="AE57" s="424">
        <v>9200000000</v>
      </c>
      <c r="AF57" s="424">
        <v>9200000000</v>
      </c>
      <c r="AG57" s="424">
        <v>9200000000</v>
      </c>
      <c r="AH57" s="424">
        <v>9200000000</v>
      </c>
      <c r="AI57" s="424">
        <v>9200000000</v>
      </c>
      <c r="AJ57" s="424">
        <v>9200000000</v>
      </c>
      <c r="AK57" s="424">
        <v>9200000000</v>
      </c>
      <c r="AL57" s="424">
        <v>9200000000</v>
      </c>
      <c r="AM57" s="424">
        <v>9200000000</v>
      </c>
      <c r="AN57" s="424">
        <v>9200000000</v>
      </c>
      <c r="AO57" s="424">
        <v>9200000000</v>
      </c>
      <c r="AP57" s="424">
        <v>9200000000</v>
      </c>
      <c r="AQ57" s="424">
        <v>16100000000</v>
      </c>
      <c r="AR57" s="424">
        <v>16100000000</v>
      </c>
      <c r="AS57" s="424">
        <v>16100000000</v>
      </c>
      <c r="AT57" s="424">
        <v>16100000000</v>
      </c>
      <c r="AU57" s="424">
        <v>16100000000</v>
      </c>
      <c r="AV57" s="424">
        <v>16100000000</v>
      </c>
      <c r="AW57" s="424">
        <v>16100000000</v>
      </c>
      <c r="AX57" s="424">
        <v>16100000000</v>
      </c>
      <c r="AY57" s="424">
        <v>16100000000</v>
      </c>
      <c r="AZ57" s="424">
        <v>16100000000</v>
      </c>
      <c r="BA57" s="424">
        <v>16100000000</v>
      </c>
      <c r="BB57" s="424">
        <v>16100000000</v>
      </c>
      <c r="BC57" s="424">
        <v>16100000000</v>
      </c>
      <c r="BD57" s="424">
        <v>16100000000</v>
      </c>
      <c r="BE57" s="424">
        <v>16100000000</v>
      </c>
      <c r="BF57" s="424">
        <v>16100000000</v>
      </c>
      <c r="BG57" s="424">
        <v>16100000000</v>
      </c>
      <c r="BH57" s="424">
        <v>16100000000</v>
      </c>
      <c r="BI57" s="424">
        <v>16100000000</v>
      </c>
      <c r="BJ57" s="424">
        <v>16100000000</v>
      </c>
      <c r="BK57" s="424">
        <v>16100000000</v>
      </c>
      <c r="BL57" s="424">
        <v>16100000000</v>
      </c>
      <c r="BM57" s="424">
        <v>16100000000</v>
      </c>
      <c r="BN57" s="424">
        <v>16100000000</v>
      </c>
      <c r="BO57" s="424">
        <v>16100000000</v>
      </c>
      <c r="BP57" s="424">
        <v>16100000000</v>
      </c>
      <c r="BQ57" s="424">
        <v>16100000000</v>
      </c>
      <c r="BR57" s="424">
        <v>16100000000</v>
      </c>
      <c r="BS57" s="424">
        <v>16100000000</v>
      </c>
      <c r="BT57" s="424">
        <v>16100000000</v>
      </c>
      <c r="BU57" s="424">
        <v>16100000000</v>
      </c>
    </row>
    <row r="58" spans="2:73" ht="15.95" customHeight="1">
      <c r="B58" s="1872" t="s">
        <v>191</v>
      </c>
      <c r="C58" s="1873" t="s">
        <v>755</v>
      </c>
      <c r="D58" s="423">
        <v>2000000000</v>
      </c>
      <c r="E58" s="424">
        <v>2000000000</v>
      </c>
      <c r="F58" s="91"/>
      <c r="G58" s="91"/>
      <c r="H58" s="91"/>
      <c r="I58" s="424">
        <v>2000000000</v>
      </c>
      <c r="J58" s="424">
        <v>2000000000</v>
      </c>
      <c r="K58" s="424">
        <v>2000000000</v>
      </c>
      <c r="L58" s="424">
        <v>2000000000</v>
      </c>
      <c r="M58" s="424">
        <v>2000000000</v>
      </c>
      <c r="N58" s="424">
        <v>2000000000</v>
      </c>
      <c r="O58" s="424">
        <v>2000000000</v>
      </c>
      <c r="P58" s="424">
        <v>2000000000</v>
      </c>
      <c r="Q58" s="424">
        <v>2000000000</v>
      </c>
      <c r="R58" s="424">
        <v>2000000000</v>
      </c>
      <c r="S58" s="424">
        <v>2000000000</v>
      </c>
      <c r="T58" s="424">
        <v>2000000000</v>
      </c>
      <c r="U58" s="424">
        <v>2000000000</v>
      </c>
      <c r="V58" s="424">
        <v>2000000000</v>
      </c>
      <c r="W58" s="424">
        <v>2000000000</v>
      </c>
      <c r="X58" s="424">
        <v>2000000000</v>
      </c>
      <c r="Y58" s="424">
        <v>2000000000</v>
      </c>
      <c r="Z58" s="424">
        <v>2000000000</v>
      </c>
      <c r="AA58" s="424">
        <v>2000000000</v>
      </c>
      <c r="AB58" s="424">
        <v>2000000000</v>
      </c>
      <c r="AC58" s="424">
        <v>2000000000</v>
      </c>
      <c r="AD58" s="424">
        <v>2000000000</v>
      </c>
      <c r="AE58" s="424">
        <v>2000000000</v>
      </c>
      <c r="AF58" s="424">
        <v>2000000000</v>
      </c>
      <c r="AG58" s="424">
        <v>2000000000</v>
      </c>
      <c r="AH58" s="424">
        <v>2000000000</v>
      </c>
      <c r="AI58" s="424">
        <v>2000000000</v>
      </c>
      <c r="AJ58" s="424">
        <v>2000000000</v>
      </c>
      <c r="AK58" s="424">
        <v>2000000000</v>
      </c>
      <c r="AL58" s="424">
        <v>2000000000</v>
      </c>
      <c r="AM58" s="424">
        <v>2000000000</v>
      </c>
      <c r="AN58" s="424">
        <v>2000000000</v>
      </c>
      <c r="AO58" s="424">
        <v>2000000000</v>
      </c>
      <c r="AP58" s="424">
        <v>2000000000</v>
      </c>
      <c r="AQ58" s="424">
        <v>5000000000</v>
      </c>
      <c r="AR58" s="424">
        <v>5000000000</v>
      </c>
      <c r="AS58" s="424">
        <v>5000000000</v>
      </c>
      <c r="AT58" s="424">
        <v>5000000000</v>
      </c>
      <c r="AU58" s="424">
        <v>5000000000</v>
      </c>
      <c r="AV58" s="424">
        <v>5000000000</v>
      </c>
      <c r="AW58" s="424">
        <v>5000000000</v>
      </c>
      <c r="AX58" s="424">
        <v>5000000000</v>
      </c>
      <c r="AY58" s="424">
        <v>5000000000</v>
      </c>
      <c r="AZ58" s="424">
        <v>5000000000</v>
      </c>
      <c r="BA58" s="424">
        <v>5000000000</v>
      </c>
      <c r="BB58" s="424">
        <v>5000000000</v>
      </c>
      <c r="BC58" s="424">
        <v>5000000000</v>
      </c>
      <c r="BD58" s="424">
        <v>5000000000</v>
      </c>
      <c r="BE58" s="424">
        <v>5000000000</v>
      </c>
      <c r="BF58" s="424">
        <v>5000000000</v>
      </c>
      <c r="BG58" s="424">
        <v>5000000000</v>
      </c>
      <c r="BH58" s="424">
        <v>5000000000</v>
      </c>
      <c r="BI58" s="424">
        <v>5000000000</v>
      </c>
      <c r="BJ58" s="424">
        <v>5000000000</v>
      </c>
      <c r="BK58" s="424">
        <v>5000000000</v>
      </c>
      <c r="BL58" s="424">
        <v>5000000000</v>
      </c>
      <c r="BM58" s="424">
        <v>5000000000</v>
      </c>
      <c r="BN58" s="424">
        <v>5000000000</v>
      </c>
      <c r="BO58" s="424">
        <v>5000000000</v>
      </c>
      <c r="BP58" s="424">
        <v>5000000000</v>
      </c>
      <c r="BQ58" s="424">
        <v>5000000000</v>
      </c>
      <c r="BR58" s="424">
        <v>5000000000</v>
      </c>
      <c r="BS58" s="424">
        <v>5000000000</v>
      </c>
      <c r="BT58" s="424">
        <v>5000000000</v>
      </c>
      <c r="BU58" s="424">
        <v>5000000000</v>
      </c>
    </row>
    <row r="59" spans="2:73" ht="15.95" customHeight="1">
      <c r="B59" s="2761" t="s">
        <v>756</v>
      </c>
      <c r="C59" s="2762"/>
      <c r="D59" s="421">
        <f>SUM(D60:D62)</f>
        <v>0</v>
      </c>
      <c r="E59" s="422">
        <v>0</v>
      </c>
      <c r="F59" s="90"/>
      <c r="G59" s="90"/>
      <c r="H59" s="90"/>
      <c r="I59" s="422">
        <v>0</v>
      </c>
      <c r="J59" s="422">
        <v>0</v>
      </c>
      <c r="K59" s="422">
        <v>0</v>
      </c>
      <c r="L59" s="422">
        <v>0</v>
      </c>
      <c r="M59" s="422">
        <v>0</v>
      </c>
      <c r="N59" s="422">
        <v>0</v>
      </c>
      <c r="O59" s="422">
        <v>0</v>
      </c>
      <c r="P59" s="422">
        <v>0</v>
      </c>
      <c r="Q59" s="422">
        <v>0</v>
      </c>
      <c r="R59" s="422">
        <v>0</v>
      </c>
      <c r="S59" s="422">
        <v>0</v>
      </c>
      <c r="T59" s="422">
        <v>0</v>
      </c>
      <c r="U59" s="422">
        <v>0</v>
      </c>
      <c r="V59" s="422">
        <v>0</v>
      </c>
      <c r="W59" s="422">
        <v>0</v>
      </c>
      <c r="X59" s="422">
        <v>0</v>
      </c>
      <c r="Y59" s="422">
        <v>0</v>
      </c>
      <c r="Z59" s="422">
        <v>0</v>
      </c>
      <c r="AA59" s="422">
        <v>0</v>
      </c>
      <c r="AB59" s="422">
        <v>0</v>
      </c>
      <c r="AC59" s="422">
        <v>0</v>
      </c>
      <c r="AD59" s="422">
        <v>0</v>
      </c>
      <c r="AE59" s="422">
        <v>0</v>
      </c>
      <c r="AF59" s="422">
        <v>0</v>
      </c>
      <c r="AG59" s="422">
        <v>0</v>
      </c>
      <c r="AH59" s="422">
        <v>0</v>
      </c>
      <c r="AI59" s="422">
        <v>0</v>
      </c>
      <c r="AJ59" s="422">
        <v>0</v>
      </c>
      <c r="AK59" s="422">
        <v>-127902478828</v>
      </c>
      <c r="AL59" s="422">
        <v>-127902478828</v>
      </c>
      <c r="AM59" s="422">
        <v>-127902478828</v>
      </c>
      <c r="AN59" s="422">
        <v>-127902478828</v>
      </c>
      <c r="AO59" s="422">
        <v>-127902478828</v>
      </c>
      <c r="AP59" s="422">
        <v>-127902478828</v>
      </c>
      <c r="AQ59" s="422">
        <v>0</v>
      </c>
      <c r="AR59" s="422">
        <v>0</v>
      </c>
      <c r="AS59" s="422">
        <v>0</v>
      </c>
      <c r="AT59" s="422">
        <v>0</v>
      </c>
      <c r="AU59" s="422">
        <v>0</v>
      </c>
      <c r="AV59" s="422">
        <v>0</v>
      </c>
      <c r="AW59" s="422">
        <v>0</v>
      </c>
      <c r="AX59" s="422">
        <v>0</v>
      </c>
      <c r="AY59" s="422">
        <v>0</v>
      </c>
      <c r="AZ59" s="422">
        <v>0</v>
      </c>
      <c r="BA59" s="422">
        <v>0</v>
      </c>
      <c r="BB59" s="422">
        <v>0</v>
      </c>
      <c r="BC59" s="422">
        <v>0</v>
      </c>
      <c r="BD59" s="422">
        <v>0</v>
      </c>
      <c r="BE59" s="422">
        <v>0</v>
      </c>
      <c r="BF59" s="422">
        <v>0</v>
      </c>
      <c r="BG59" s="422">
        <v>0</v>
      </c>
      <c r="BH59" s="422">
        <v>0</v>
      </c>
      <c r="BI59" s="422">
        <v>0</v>
      </c>
      <c r="BJ59" s="422">
        <v>0</v>
      </c>
      <c r="BK59" s="422">
        <v>0</v>
      </c>
      <c r="BL59" s="422">
        <v>0</v>
      </c>
      <c r="BM59" s="422">
        <v>0</v>
      </c>
      <c r="BN59" s="422">
        <v>0</v>
      </c>
      <c r="BO59" s="422">
        <v>0</v>
      </c>
      <c r="BP59" s="422">
        <v>0</v>
      </c>
      <c r="BQ59" s="422">
        <v>0</v>
      </c>
      <c r="BR59" s="422">
        <v>0</v>
      </c>
      <c r="BS59" s="422">
        <v>0</v>
      </c>
      <c r="BT59" s="422">
        <v>0</v>
      </c>
      <c r="BU59" s="422">
        <v>0</v>
      </c>
    </row>
    <row r="60" spans="2:73" ht="15.95" customHeight="1">
      <c r="B60" s="1872" t="s">
        <v>707</v>
      </c>
      <c r="C60" s="1873" t="s">
        <v>757</v>
      </c>
      <c r="D60" s="423">
        <v>0</v>
      </c>
      <c r="E60" s="424">
        <v>0</v>
      </c>
      <c r="F60" s="91"/>
      <c r="G60" s="91"/>
      <c r="H60" s="91"/>
      <c r="I60" s="424">
        <v>0</v>
      </c>
      <c r="J60" s="424">
        <v>0</v>
      </c>
      <c r="K60" s="424">
        <v>0</v>
      </c>
      <c r="L60" s="424">
        <v>0</v>
      </c>
      <c r="M60" s="424">
        <v>0</v>
      </c>
      <c r="N60" s="424">
        <v>0</v>
      </c>
      <c r="O60" s="424">
        <v>0</v>
      </c>
      <c r="P60" s="424">
        <v>0</v>
      </c>
      <c r="Q60" s="424">
        <v>0</v>
      </c>
      <c r="R60" s="424">
        <v>0</v>
      </c>
      <c r="S60" s="424">
        <v>0</v>
      </c>
      <c r="T60" s="424">
        <v>0</v>
      </c>
      <c r="U60" s="424">
        <v>0</v>
      </c>
      <c r="V60" s="424">
        <v>0</v>
      </c>
      <c r="W60" s="424">
        <v>0</v>
      </c>
      <c r="X60" s="424">
        <v>0</v>
      </c>
      <c r="Y60" s="424">
        <v>0</v>
      </c>
      <c r="Z60" s="424">
        <v>0</v>
      </c>
      <c r="AA60" s="424">
        <v>0</v>
      </c>
      <c r="AB60" s="424">
        <v>0</v>
      </c>
      <c r="AC60" s="424">
        <v>0</v>
      </c>
      <c r="AD60" s="424">
        <v>0</v>
      </c>
      <c r="AE60" s="424">
        <v>0</v>
      </c>
      <c r="AF60" s="424">
        <v>0</v>
      </c>
      <c r="AG60" s="424">
        <v>0</v>
      </c>
      <c r="AH60" s="424">
        <v>0</v>
      </c>
      <c r="AI60" s="424">
        <v>0</v>
      </c>
      <c r="AJ60" s="424">
        <v>0</v>
      </c>
      <c r="AK60" s="424">
        <v>0</v>
      </c>
      <c r="AL60" s="424">
        <v>0</v>
      </c>
      <c r="AM60" s="424">
        <v>0</v>
      </c>
      <c r="AN60" s="424">
        <v>0</v>
      </c>
      <c r="AO60" s="424">
        <v>0</v>
      </c>
      <c r="AP60" s="424">
        <v>0</v>
      </c>
      <c r="AQ60" s="424">
        <v>0</v>
      </c>
      <c r="AR60" s="424">
        <v>0</v>
      </c>
      <c r="AS60" s="424">
        <v>0</v>
      </c>
      <c r="AT60" s="424">
        <v>0</v>
      </c>
      <c r="AU60" s="424">
        <v>0</v>
      </c>
      <c r="AV60" s="424">
        <v>0</v>
      </c>
      <c r="AW60" s="424">
        <v>0</v>
      </c>
      <c r="AX60" s="424">
        <v>0</v>
      </c>
      <c r="AY60" s="424">
        <v>0</v>
      </c>
      <c r="AZ60" s="424">
        <v>0</v>
      </c>
      <c r="BA60" s="424">
        <v>0</v>
      </c>
      <c r="BB60" s="424">
        <v>0</v>
      </c>
      <c r="BC60" s="424">
        <v>0</v>
      </c>
      <c r="BD60" s="424">
        <v>0</v>
      </c>
      <c r="BE60" s="424">
        <v>0</v>
      </c>
      <c r="BF60" s="424">
        <v>0</v>
      </c>
      <c r="BG60" s="424">
        <v>0</v>
      </c>
      <c r="BH60" s="424">
        <v>0</v>
      </c>
      <c r="BI60" s="424">
        <v>0</v>
      </c>
      <c r="BJ60" s="424">
        <v>0</v>
      </c>
      <c r="BK60" s="424">
        <v>0</v>
      </c>
      <c r="BL60" s="424">
        <v>0</v>
      </c>
      <c r="BM60" s="424">
        <v>0</v>
      </c>
      <c r="BN60" s="424">
        <v>0</v>
      </c>
      <c r="BO60" s="424">
        <v>0</v>
      </c>
      <c r="BP60" s="424">
        <v>0</v>
      </c>
      <c r="BQ60" s="424">
        <v>0</v>
      </c>
      <c r="BR60" s="424">
        <v>0</v>
      </c>
      <c r="BS60" s="424">
        <v>0</v>
      </c>
      <c r="BT60" s="424">
        <v>0</v>
      </c>
      <c r="BU60" s="424">
        <v>0</v>
      </c>
    </row>
    <row r="61" spans="2:73" ht="15.95" customHeight="1">
      <c r="B61" s="1872" t="s">
        <v>709</v>
      </c>
      <c r="C61" s="1873" t="s">
        <v>758</v>
      </c>
      <c r="D61" s="423">
        <v>0</v>
      </c>
      <c r="E61" s="424">
        <v>0</v>
      </c>
      <c r="F61" s="91"/>
      <c r="G61" s="91"/>
      <c r="H61" s="91"/>
      <c r="I61" s="424">
        <v>0</v>
      </c>
      <c r="J61" s="424">
        <v>0</v>
      </c>
      <c r="K61" s="424">
        <v>0</v>
      </c>
      <c r="L61" s="424">
        <v>0</v>
      </c>
      <c r="M61" s="424">
        <v>0</v>
      </c>
      <c r="N61" s="424">
        <v>0</v>
      </c>
      <c r="O61" s="424">
        <v>0</v>
      </c>
      <c r="P61" s="424">
        <v>0</v>
      </c>
      <c r="Q61" s="424">
        <v>0</v>
      </c>
      <c r="R61" s="424">
        <v>0</v>
      </c>
      <c r="S61" s="424">
        <v>0</v>
      </c>
      <c r="T61" s="424">
        <v>0</v>
      </c>
      <c r="U61" s="424">
        <v>0</v>
      </c>
      <c r="V61" s="424">
        <v>0</v>
      </c>
      <c r="W61" s="424">
        <v>0</v>
      </c>
      <c r="X61" s="424">
        <v>0</v>
      </c>
      <c r="Y61" s="424">
        <v>0</v>
      </c>
      <c r="Z61" s="424">
        <v>0</v>
      </c>
      <c r="AA61" s="424">
        <v>0</v>
      </c>
      <c r="AB61" s="424">
        <v>0</v>
      </c>
      <c r="AC61" s="424">
        <v>0</v>
      </c>
      <c r="AD61" s="424">
        <v>0</v>
      </c>
      <c r="AE61" s="424">
        <v>0</v>
      </c>
      <c r="AF61" s="424">
        <v>0</v>
      </c>
      <c r="AG61" s="424">
        <v>0</v>
      </c>
      <c r="AH61" s="424">
        <v>0</v>
      </c>
      <c r="AI61" s="424">
        <v>0</v>
      </c>
      <c r="AJ61" s="424">
        <v>0</v>
      </c>
      <c r="AK61" s="424">
        <v>0</v>
      </c>
      <c r="AL61" s="424">
        <v>0</v>
      </c>
      <c r="AM61" s="424">
        <v>0</v>
      </c>
      <c r="AN61" s="424">
        <v>0</v>
      </c>
      <c r="AO61" s="424">
        <v>0</v>
      </c>
      <c r="AP61" s="424">
        <v>0</v>
      </c>
      <c r="AQ61" s="424">
        <v>0</v>
      </c>
      <c r="AR61" s="424">
        <v>0</v>
      </c>
      <c r="AS61" s="424">
        <v>0</v>
      </c>
      <c r="AT61" s="424">
        <v>0</v>
      </c>
      <c r="AU61" s="424">
        <v>0</v>
      </c>
      <c r="AV61" s="424">
        <v>0</v>
      </c>
      <c r="AW61" s="424">
        <v>0</v>
      </c>
      <c r="AX61" s="424">
        <v>0</v>
      </c>
      <c r="AY61" s="424">
        <v>0</v>
      </c>
      <c r="AZ61" s="424">
        <v>0</v>
      </c>
      <c r="BA61" s="424">
        <v>0</v>
      </c>
      <c r="BB61" s="424">
        <v>0</v>
      </c>
      <c r="BC61" s="424">
        <v>0</v>
      </c>
      <c r="BD61" s="424">
        <v>0</v>
      </c>
      <c r="BE61" s="424">
        <v>0</v>
      </c>
      <c r="BF61" s="424">
        <v>0</v>
      </c>
      <c r="BG61" s="424">
        <v>0</v>
      </c>
      <c r="BH61" s="424">
        <v>0</v>
      </c>
      <c r="BI61" s="424">
        <v>0</v>
      </c>
      <c r="BJ61" s="424">
        <v>0</v>
      </c>
      <c r="BK61" s="424">
        <v>0</v>
      </c>
      <c r="BL61" s="424">
        <v>0</v>
      </c>
      <c r="BM61" s="424">
        <v>0</v>
      </c>
      <c r="BN61" s="424">
        <v>0</v>
      </c>
      <c r="BO61" s="424">
        <v>0</v>
      </c>
      <c r="BP61" s="424">
        <v>0</v>
      </c>
      <c r="BQ61" s="424">
        <v>0</v>
      </c>
      <c r="BR61" s="424">
        <v>0</v>
      </c>
      <c r="BS61" s="424">
        <v>0</v>
      </c>
      <c r="BT61" s="424">
        <v>0</v>
      </c>
      <c r="BU61" s="424">
        <v>0</v>
      </c>
    </row>
    <row r="62" spans="2:73" ht="15.95" customHeight="1">
      <c r="B62" s="1872" t="s">
        <v>759</v>
      </c>
      <c r="C62" s="1873" t="s">
        <v>760</v>
      </c>
      <c r="D62" s="423">
        <v>0</v>
      </c>
      <c r="E62" s="424">
        <v>0</v>
      </c>
      <c r="F62" s="91"/>
      <c r="G62" s="91"/>
      <c r="H62" s="91"/>
      <c r="I62" s="424">
        <v>0</v>
      </c>
      <c r="J62" s="424">
        <v>0</v>
      </c>
      <c r="K62" s="424">
        <v>0</v>
      </c>
      <c r="L62" s="424">
        <v>0</v>
      </c>
      <c r="M62" s="424">
        <v>0</v>
      </c>
      <c r="N62" s="424">
        <v>0</v>
      </c>
      <c r="O62" s="424">
        <v>0</v>
      </c>
      <c r="P62" s="424">
        <v>0</v>
      </c>
      <c r="Q62" s="424">
        <v>0</v>
      </c>
      <c r="R62" s="424">
        <v>0</v>
      </c>
      <c r="S62" s="424">
        <v>0</v>
      </c>
      <c r="T62" s="424">
        <v>0</v>
      </c>
      <c r="U62" s="424">
        <v>0</v>
      </c>
      <c r="V62" s="424">
        <v>0</v>
      </c>
      <c r="W62" s="424">
        <v>0</v>
      </c>
      <c r="X62" s="424">
        <v>0</v>
      </c>
      <c r="Y62" s="424">
        <v>0</v>
      </c>
      <c r="Z62" s="424">
        <v>0</v>
      </c>
      <c r="AA62" s="424">
        <v>0</v>
      </c>
      <c r="AB62" s="424">
        <v>0</v>
      </c>
      <c r="AC62" s="424">
        <v>0</v>
      </c>
      <c r="AD62" s="424">
        <v>0</v>
      </c>
      <c r="AE62" s="424">
        <v>0</v>
      </c>
      <c r="AF62" s="424">
        <v>0</v>
      </c>
      <c r="AG62" s="424">
        <v>0</v>
      </c>
      <c r="AH62" s="424">
        <v>0</v>
      </c>
      <c r="AI62" s="424">
        <v>0</v>
      </c>
      <c r="AJ62" s="424">
        <v>0</v>
      </c>
      <c r="AK62" s="424">
        <v>-127902478828</v>
      </c>
      <c r="AL62" s="424">
        <v>-127902478828</v>
      </c>
      <c r="AM62" s="424">
        <v>-127902478828</v>
      </c>
      <c r="AN62" s="424">
        <v>-127902478828</v>
      </c>
      <c r="AO62" s="424">
        <v>-127902478828</v>
      </c>
      <c r="AP62" s="424">
        <v>-127902478828</v>
      </c>
      <c r="AQ62" s="424"/>
      <c r="AR62" s="424"/>
      <c r="AS62" s="424"/>
      <c r="AT62" s="424"/>
      <c r="AU62" s="424"/>
      <c r="AV62" s="424"/>
      <c r="AW62" s="424"/>
      <c r="AX62" s="424"/>
      <c r="AY62" s="424"/>
      <c r="AZ62" s="424"/>
      <c r="BA62" s="424"/>
      <c r="BB62" s="424"/>
      <c r="BC62" s="424"/>
      <c r="BD62" s="424"/>
      <c r="BE62" s="424"/>
      <c r="BF62" s="424"/>
      <c r="BG62" s="424"/>
      <c r="BH62" s="424"/>
      <c r="BI62" s="424"/>
      <c r="BJ62" s="424"/>
      <c r="BK62" s="424"/>
      <c r="BL62" s="424"/>
      <c r="BM62" s="424"/>
      <c r="BN62" s="424"/>
      <c r="BO62" s="424"/>
      <c r="BP62" s="424"/>
      <c r="BQ62" s="424"/>
      <c r="BR62" s="424"/>
      <c r="BS62" s="424"/>
      <c r="BT62" s="424"/>
      <c r="BU62" s="424"/>
    </row>
    <row r="63" spans="2:73" ht="15.95" customHeight="1">
      <c r="B63" s="2761" t="s">
        <v>761</v>
      </c>
      <c r="C63" s="2762"/>
      <c r="D63" s="421">
        <f>D64</f>
        <v>33001343350</v>
      </c>
      <c r="E63" s="422">
        <v>33001343350</v>
      </c>
      <c r="F63" s="90"/>
      <c r="G63" s="90"/>
      <c r="H63" s="90"/>
      <c r="I63" s="422">
        <v>33001343350</v>
      </c>
      <c r="J63" s="422">
        <v>33001343350</v>
      </c>
      <c r="K63" s="422">
        <v>33001343350</v>
      </c>
      <c r="L63" s="422">
        <v>33001343350</v>
      </c>
      <c r="M63" s="422">
        <v>33001343350</v>
      </c>
      <c r="N63" s="422">
        <v>33001343350</v>
      </c>
      <c r="O63" s="422">
        <v>33001343350</v>
      </c>
      <c r="P63" s="422">
        <v>33001343350</v>
      </c>
      <c r="Q63" s="422">
        <v>33001343350</v>
      </c>
      <c r="R63" s="422">
        <v>33001343350</v>
      </c>
      <c r="S63" s="422">
        <v>33001343350</v>
      </c>
      <c r="T63" s="422">
        <v>33001343350</v>
      </c>
      <c r="U63" s="422">
        <v>33001343350</v>
      </c>
      <c r="V63" s="422">
        <v>33001343350</v>
      </c>
      <c r="W63" s="422">
        <v>33001343350</v>
      </c>
      <c r="X63" s="422">
        <v>33001343350</v>
      </c>
      <c r="Y63" s="422">
        <v>33001343350</v>
      </c>
      <c r="Z63" s="422">
        <v>33001343350</v>
      </c>
      <c r="AA63" s="422">
        <v>33001343350</v>
      </c>
      <c r="AB63" s="422">
        <v>33001343350</v>
      </c>
      <c r="AC63" s="422">
        <v>33001343350</v>
      </c>
      <c r="AD63" s="422">
        <v>33001343350</v>
      </c>
      <c r="AE63" s="422">
        <v>33001343350</v>
      </c>
      <c r="AF63" s="422">
        <v>33001343350</v>
      </c>
      <c r="AG63" s="422">
        <v>33001343350</v>
      </c>
      <c r="AH63" s="422">
        <v>33001343350</v>
      </c>
      <c r="AI63" s="422">
        <v>33001343350</v>
      </c>
      <c r="AJ63" s="422">
        <v>33001343350</v>
      </c>
      <c r="AK63" s="422">
        <v>171304659240</v>
      </c>
      <c r="AL63" s="422">
        <v>171304659240</v>
      </c>
      <c r="AM63" s="422">
        <v>171304659240</v>
      </c>
      <c r="AN63" s="422">
        <v>171304659240</v>
      </c>
      <c r="AO63" s="422">
        <v>171304659240</v>
      </c>
      <c r="AP63" s="422">
        <v>171304659240</v>
      </c>
      <c r="AQ63" s="422">
        <v>65068559240</v>
      </c>
      <c r="AR63" s="422">
        <v>65068559240</v>
      </c>
      <c r="AS63" s="422">
        <v>65068559240</v>
      </c>
      <c r="AT63" s="422">
        <v>65068559240</v>
      </c>
      <c r="AU63" s="422">
        <v>65068559240</v>
      </c>
      <c r="AV63" s="422">
        <v>65068559240</v>
      </c>
      <c r="AW63" s="422">
        <v>65068559240</v>
      </c>
      <c r="AX63" s="422">
        <v>65068559240</v>
      </c>
      <c r="AY63" s="422">
        <v>65068559240</v>
      </c>
      <c r="AZ63" s="422">
        <v>65068559240</v>
      </c>
      <c r="BA63" s="422">
        <v>65068559240</v>
      </c>
      <c r="BB63" s="422">
        <v>65068559240</v>
      </c>
      <c r="BC63" s="422">
        <v>65068559240</v>
      </c>
      <c r="BD63" s="422">
        <v>65068559240</v>
      </c>
      <c r="BE63" s="422">
        <v>65068559240</v>
      </c>
      <c r="BF63" s="422">
        <v>65068559240</v>
      </c>
      <c r="BG63" s="422">
        <v>65068559240</v>
      </c>
      <c r="BH63" s="422">
        <v>65068559240</v>
      </c>
      <c r="BI63" s="422">
        <v>65068559240</v>
      </c>
      <c r="BJ63" s="422">
        <v>65068559240</v>
      </c>
      <c r="BK63" s="422">
        <v>65068559240</v>
      </c>
      <c r="BL63" s="422">
        <v>65068559240</v>
      </c>
      <c r="BM63" s="422">
        <v>65068559240</v>
      </c>
      <c r="BN63" s="422">
        <v>65068559240</v>
      </c>
      <c r="BO63" s="422">
        <v>65068559240</v>
      </c>
      <c r="BP63" s="422">
        <v>65068559240</v>
      </c>
      <c r="BQ63" s="422">
        <v>65068559240</v>
      </c>
      <c r="BR63" s="422">
        <v>65068559240</v>
      </c>
      <c r="BS63" s="422">
        <v>65068559240</v>
      </c>
      <c r="BT63" s="422">
        <v>65068559240</v>
      </c>
      <c r="BU63" s="422">
        <v>65068559240</v>
      </c>
    </row>
    <row r="64" spans="2:73" ht="15.95" customHeight="1">
      <c r="B64" s="1872" t="s">
        <v>707</v>
      </c>
      <c r="C64" s="1873" t="s">
        <v>762</v>
      </c>
      <c r="D64" s="423">
        <v>33001343350</v>
      </c>
      <c r="E64" s="424">
        <v>33001343350</v>
      </c>
      <c r="F64" s="91"/>
      <c r="G64" s="91"/>
      <c r="H64" s="91"/>
      <c r="I64" s="424">
        <v>33001343350</v>
      </c>
      <c r="J64" s="424">
        <v>33001343350</v>
      </c>
      <c r="K64" s="424">
        <v>33001343350</v>
      </c>
      <c r="L64" s="424">
        <v>33001343350</v>
      </c>
      <c r="M64" s="424">
        <v>33001343350</v>
      </c>
      <c r="N64" s="424">
        <v>33001343350</v>
      </c>
      <c r="O64" s="424">
        <v>33001343350</v>
      </c>
      <c r="P64" s="424">
        <v>33001343350</v>
      </c>
      <c r="Q64" s="424">
        <v>33001343350</v>
      </c>
      <c r="R64" s="424">
        <v>33001343350</v>
      </c>
      <c r="S64" s="424">
        <v>33001343350</v>
      </c>
      <c r="T64" s="424">
        <v>33001343350</v>
      </c>
      <c r="U64" s="424">
        <v>33001343350</v>
      </c>
      <c r="V64" s="424">
        <v>33001343350</v>
      </c>
      <c r="W64" s="424">
        <v>33001343350</v>
      </c>
      <c r="X64" s="424">
        <v>33001343350</v>
      </c>
      <c r="Y64" s="424">
        <v>33001343350</v>
      </c>
      <c r="Z64" s="424">
        <v>33001343350</v>
      </c>
      <c r="AA64" s="424">
        <v>33001343350</v>
      </c>
      <c r="AB64" s="424">
        <v>33001343350</v>
      </c>
      <c r="AC64" s="424">
        <v>33001343350</v>
      </c>
      <c r="AD64" s="424">
        <v>33001343350</v>
      </c>
      <c r="AE64" s="424">
        <v>33001343350</v>
      </c>
      <c r="AF64" s="424">
        <v>33001343350</v>
      </c>
      <c r="AG64" s="424">
        <v>33001343350</v>
      </c>
      <c r="AH64" s="424">
        <v>33001343350</v>
      </c>
      <c r="AI64" s="424">
        <v>33001343350</v>
      </c>
      <c r="AJ64" s="424">
        <v>33001343350</v>
      </c>
      <c r="AK64" s="424">
        <v>171304659240</v>
      </c>
      <c r="AL64" s="424">
        <v>171304659240</v>
      </c>
      <c r="AM64" s="424">
        <v>171304659240</v>
      </c>
      <c r="AN64" s="424">
        <v>171304659240</v>
      </c>
      <c r="AO64" s="424">
        <v>171304659240</v>
      </c>
      <c r="AP64" s="424">
        <v>171304659240</v>
      </c>
      <c r="AQ64" s="424">
        <v>65068559240</v>
      </c>
      <c r="AR64" s="424">
        <v>65068559240</v>
      </c>
      <c r="AS64" s="424">
        <v>65068559240</v>
      </c>
      <c r="AT64" s="424">
        <v>65068559240</v>
      </c>
      <c r="AU64" s="424">
        <v>65068559240</v>
      </c>
      <c r="AV64" s="424">
        <v>65068559240</v>
      </c>
      <c r="AW64" s="424">
        <v>65068559240</v>
      </c>
      <c r="AX64" s="424">
        <v>65068559240</v>
      </c>
      <c r="AY64" s="424">
        <v>65068559240</v>
      </c>
      <c r="AZ64" s="424">
        <v>65068559240</v>
      </c>
      <c r="BA64" s="424">
        <v>65068559240</v>
      </c>
      <c r="BB64" s="424">
        <v>65068559240</v>
      </c>
      <c r="BC64" s="424">
        <v>65068559240</v>
      </c>
      <c r="BD64" s="424">
        <v>65068559240</v>
      </c>
      <c r="BE64" s="424">
        <v>65068559240</v>
      </c>
      <c r="BF64" s="424">
        <v>65068559240</v>
      </c>
      <c r="BG64" s="424">
        <v>65068559240</v>
      </c>
      <c r="BH64" s="424">
        <v>65068559240</v>
      </c>
      <c r="BI64" s="424">
        <v>65068559240</v>
      </c>
      <c r="BJ64" s="424">
        <v>65068559240</v>
      </c>
      <c r="BK64" s="424">
        <v>65068559240</v>
      </c>
      <c r="BL64" s="424">
        <v>65068559240</v>
      </c>
      <c r="BM64" s="424">
        <v>65068559240</v>
      </c>
      <c r="BN64" s="424">
        <v>65068559240</v>
      </c>
      <c r="BO64" s="424">
        <v>65068559240</v>
      </c>
      <c r="BP64" s="424">
        <v>65068559240</v>
      </c>
      <c r="BQ64" s="424">
        <v>65068559240</v>
      </c>
      <c r="BR64" s="424">
        <v>65068559240</v>
      </c>
      <c r="BS64" s="424">
        <v>65068559240</v>
      </c>
      <c r="BT64" s="424">
        <v>65068559240</v>
      </c>
      <c r="BU64" s="424">
        <v>65068559240</v>
      </c>
    </row>
    <row r="65" spans="2:73" ht="15.95" customHeight="1">
      <c r="B65" s="2761" t="s">
        <v>763</v>
      </c>
      <c r="C65" s="2762"/>
      <c r="D65" s="421">
        <f>D66</f>
        <v>100101092722</v>
      </c>
      <c r="E65" s="422">
        <v>100101092722</v>
      </c>
      <c r="F65" s="90"/>
      <c r="G65" s="90"/>
      <c r="H65" s="90"/>
      <c r="I65" s="422">
        <v>100101092722</v>
      </c>
      <c r="J65" s="422">
        <v>100101092722</v>
      </c>
      <c r="K65" s="422">
        <v>100101092722</v>
      </c>
      <c r="L65" s="422">
        <v>100101092722</v>
      </c>
      <c r="M65" s="422">
        <v>100101092722</v>
      </c>
      <c r="N65" s="422">
        <v>100101092722</v>
      </c>
      <c r="O65" s="422">
        <v>100101092722</v>
      </c>
      <c r="P65" s="422">
        <v>100101092722</v>
      </c>
      <c r="Q65" s="422">
        <v>100101092722</v>
      </c>
      <c r="R65" s="422">
        <v>100101092722</v>
      </c>
      <c r="S65" s="422">
        <v>100101092722</v>
      </c>
      <c r="T65" s="422">
        <v>100101092722</v>
      </c>
      <c r="U65" s="422">
        <v>100101092722</v>
      </c>
      <c r="V65" s="422">
        <v>100101092722</v>
      </c>
      <c r="W65" s="422">
        <v>100101092722</v>
      </c>
      <c r="X65" s="422">
        <v>100101092722</v>
      </c>
      <c r="Y65" s="422">
        <v>100101092722</v>
      </c>
      <c r="Z65" s="422">
        <v>100101092722</v>
      </c>
      <c r="AA65" s="422">
        <v>100101092722</v>
      </c>
      <c r="AB65" s="422">
        <v>100101092722</v>
      </c>
      <c r="AC65" s="422">
        <v>100101092722</v>
      </c>
      <c r="AD65" s="422">
        <v>100101092722</v>
      </c>
      <c r="AE65" s="422">
        <v>100101092722</v>
      </c>
      <c r="AF65" s="422">
        <v>100101092722</v>
      </c>
      <c r="AG65" s="422">
        <v>100101092722</v>
      </c>
      <c r="AH65" s="422">
        <v>100101092722</v>
      </c>
      <c r="AI65" s="422">
        <v>100101092722</v>
      </c>
      <c r="AJ65" s="422">
        <v>100101092722</v>
      </c>
      <c r="AK65" s="422">
        <v>100101092722</v>
      </c>
      <c r="AL65" s="422">
        <v>100101092722</v>
      </c>
      <c r="AM65" s="422">
        <v>100101092722</v>
      </c>
      <c r="AN65" s="422">
        <v>100101092722</v>
      </c>
      <c r="AO65" s="422">
        <v>100101092722</v>
      </c>
      <c r="AP65" s="422">
        <v>100101092722</v>
      </c>
      <c r="AQ65" s="422">
        <v>65068559240</v>
      </c>
      <c r="AR65" s="422">
        <v>65068559240</v>
      </c>
      <c r="AS65" s="422">
        <v>65068559240</v>
      </c>
      <c r="AT65" s="422">
        <v>65068559240</v>
      </c>
      <c r="AU65" s="422">
        <v>65068559240</v>
      </c>
      <c r="AV65" s="422">
        <v>65068559240</v>
      </c>
      <c r="AW65" s="422">
        <v>65068559240</v>
      </c>
      <c r="AX65" s="422">
        <v>65068559240</v>
      </c>
      <c r="AY65" s="422">
        <v>65068559240</v>
      </c>
      <c r="AZ65" s="422">
        <v>65068559240</v>
      </c>
      <c r="BA65" s="422">
        <v>65068559240</v>
      </c>
      <c r="BB65" s="422">
        <v>65068559240</v>
      </c>
      <c r="BC65" s="422">
        <v>65068559240</v>
      </c>
      <c r="BD65" s="422">
        <v>65068559240</v>
      </c>
      <c r="BE65" s="422">
        <v>65068559240</v>
      </c>
      <c r="BF65" s="422">
        <v>65068559240</v>
      </c>
      <c r="BG65" s="422">
        <v>65068559240</v>
      </c>
      <c r="BH65" s="422">
        <v>65068559240</v>
      </c>
      <c r="BI65" s="422">
        <v>65068559240</v>
      </c>
      <c r="BJ65" s="422">
        <v>65068559240</v>
      </c>
      <c r="BK65" s="422">
        <v>65068559240</v>
      </c>
      <c r="BL65" s="422">
        <v>65068559240</v>
      </c>
      <c r="BM65" s="422">
        <v>65068559240</v>
      </c>
      <c r="BN65" s="422">
        <v>65068559240</v>
      </c>
      <c r="BO65" s="422">
        <v>65068559240</v>
      </c>
      <c r="BP65" s="422">
        <v>65068559240</v>
      </c>
      <c r="BQ65" s="422">
        <v>65068559240</v>
      </c>
      <c r="BR65" s="422">
        <v>65068559240</v>
      </c>
      <c r="BS65" s="422">
        <v>65068559240</v>
      </c>
      <c r="BT65" s="422">
        <v>65068559240</v>
      </c>
      <c r="BU65" s="422">
        <v>65068559240</v>
      </c>
    </row>
    <row r="66" spans="2:73" ht="15.95" customHeight="1">
      <c r="B66" s="1872" t="s">
        <v>707</v>
      </c>
      <c r="C66" s="1873" t="s">
        <v>764</v>
      </c>
      <c r="D66" s="423">
        <v>100101092722</v>
      </c>
      <c r="E66" s="424">
        <v>100101092722</v>
      </c>
      <c r="F66" s="91"/>
      <c r="G66" s="91"/>
      <c r="H66" s="91"/>
      <c r="I66" s="424">
        <v>100101092722</v>
      </c>
      <c r="J66" s="424">
        <v>100101092722</v>
      </c>
      <c r="K66" s="424">
        <v>100101092722</v>
      </c>
      <c r="L66" s="424">
        <v>100101092722</v>
      </c>
      <c r="M66" s="424">
        <v>100101092722</v>
      </c>
      <c r="N66" s="424">
        <v>100101092722</v>
      </c>
      <c r="O66" s="424">
        <v>100101092722</v>
      </c>
      <c r="P66" s="424">
        <v>100101092722</v>
      </c>
      <c r="Q66" s="424">
        <v>100101092722</v>
      </c>
      <c r="R66" s="424">
        <v>100101092722</v>
      </c>
      <c r="S66" s="424">
        <v>100101092722</v>
      </c>
      <c r="T66" s="424">
        <v>100101092722</v>
      </c>
      <c r="U66" s="424">
        <v>100101092722</v>
      </c>
      <c r="V66" s="424">
        <v>100101092722</v>
      </c>
      <c r="W66" s="424">
        <v>100101092722</v>
      </c>
      <c r="X66" s="424">
        <v>100101092722</v>
      </c>
      <c r="Y66" s="424">
        <v>100101092722</v>
      </c>
      <c r="Z66" s="424">
        <v>100101092722</v>
      </c>
      <c r="AA66" s="424">
        <v>100101092722</v>
      </c>
      <c r="AB66" s="424">
        <v>100101092722</v>
      </c>
      <c r="AC66" s="424">
        <v>100101092722</v>
      </c>
      <c r="AD66" s="424">
        <v>100101092722</v>
      </c>
      <c r="AE66" s="424">
        <v>100101092722</v>
      </c>
      <c r="AF66" s="424">
        <v>100101092722</v>
      </c>
      <c r="AG66" s="424">
        <v>100101092722</v>
      </c>
      <c r="AH66" s="424">
        <v>100101092722</v>
      </c>
      <c r="AI66" s="424">
        <v>100101092722</v>
      </c>
      <c r="AJ66" s="424">
        <v>100101092722</v>
      </c>
      <c r="AK66" s="424">
        <v>100101092722</v>
      </c>
      <c r="AL66" s="424">
        <v>100101092722</v>
      </c>
      <c r="AM66" s="424">
        <v>100101092722</v>
      </c>
      <c r="AN66" s="424">
        <v>100101092722</v>
      </c>
      <c r="AO66" s="424">
        <v>100101092722</v>
      </c>
      <c r="AP66" s="424">
        <v>100101092722</v>
      </c>
      <c r="AQ66" s="424">
        <v>65068559240</v>
      </c>
      <c r="AR66" s="424">
        <v>65068559240</v>
      </c>
      <c r="AS66" s="424">
        <v>65068559240</v>
      </c>
      <c r="AT66" s="424">
        <v>65068559240</v>
      </c>
      <c r="AU66" s="424">
        <v>65068559240</v>
      </c>
      <c r="AV66" s="424">
        <v>65068559240</v>
      </c>
      <c r="AW66" s="424">
        <v>65068559240</v>
      </c>
      <c r="AX66" s="424">
        <v>65068559240</v>
      </c>
      <c r="AY66" s="424">
        <v>65068559240</v>
      </c>
      <c r="AZ66" s="424">
        <v>65068559240</v>
      </c>
      <c r="BA66" s="424">
        <v>65068559240</v>
      </c>
      <c r="BB66" s="424">
        <v>65068559240</v>
      </c>
      <c r="BC66" s="424">
        <v>65068559240</v>
      </c>
      <c r="BD66" s="424">
        <v>65068559240</v>
      </c>
      <c r="BE66" s="424">
        <v>65068559240</v>
      </c>
      <c r="BF66" s="424">
        <v>65068559240</v>
      </c>
      <c r="BG66" s="424">
        <v>65068559240</v>
      </c>
      <c r="BH66" s="424">
        <v>65068559240</v>
      </c>
      <c r="BI66" s="424">
        <v>65068559240</v>
      </c>
      <c r="BJ66" s="424">
        <v>65068559240</v>
      </c>
      <c r="BK66" s="424">
        <v>65068559240</v>
      </c>
      <c r="BL66" s="424">
        <v>65068559240</v>
      </c>
      <c r="BM66" s="424">
        <v>65068559240</v>
      </c>
      <c r="BN66" s="424">
        <v>65068559240</v>
      </c>
      <c r="BO66" s="424">
        <v>65068559240</v>
      </c>
      <c r="BP66" s="424">
        <v>65068559240</v>
      </c>
      <c r="BQ66" s="424">
        <v>65068559240</v>
      </c>
      <c r="BR66" s="424">
        <v>65068559240</v>
      </c>
      <c r="BS66" s="424">
        <v>65068559240</v>
      </c>
      <c r="BT66" s="424">
        <v>65068559240</v>
      </c>
      <c r="BU66" s="424">
        <v>65068559240</v>
      </c>
    </row>
    <row r="67" spans="2:73" ht="15.95" customHeight="1">
      <c r="B67" s="2761" t="s">
        <v>765</v>
      </c>
      <c r="C67" s="2762"/>
      <c r="D67" s="437">
        <f>SUM(D68:D70)</f>
        <v>-24031669180.612904</v>
      </c>
      <c r="E67" s="437">
        <v>-20696245161.612904</v>
      </c>
      <c r="F67" s="94"/>
      <c r="G67" s="94"/>
      <c r="H67" s="94"/>
      <c r="I67" s="437">
        <v>-24605256618.612904</v>
      </c>
      <c r="J67" s="437">
        <v>-19781812997.612904</v>
      </c>
      <c r="K67" s="437">
        <v>-20071370678.612904</v>
      </c>
      <c r="L67" s="437">
        <v>-20696245161.612904</v>
      </c>
      <c r="M67" s="437">
        <v>-21046962487.612904</v>
      </c>
      <c r="N67" s="437">
        <v>-21395839382.612904</v>
      </c>
      <c r="O67" s="437">
        <v>-21959889270.612904</v>
      </c>
      <c r="P67" s="437">
        <v>-17792791194.612904</v>
      </c>
      <c r="Q67" s="437">
        <v>-18287593384.612904</v>
      </c>
      <c r="R67" s="437">
        <v>-18584733626.612904</v>
      </c>
      <c r="S67" s="437">
        <v>-19234530726.612904</v>
      </c>
      <c r="T67" s="437">
        <v>-19608115700.612904</v>
      </c>
      <c r="U67" s="437">
        <v>-19988059571.612904</v>
      </c>
      <c r="V67" s="437">
        <v>-14937247354.412903</v>
      </c>
      <c r="W67" s="437">
        <v>-15167613698.412903</v>
      </c>
      <c r="X67" s="437">
        <v>-15631893911.612904</v>
      </c>
      <c r="Y67" s="437">
        <v>-15741064659.612904</v>
      </c>
      <c r="Z67" s="437">
        <v>-16236463486.612904</v>
      </c>
      <c r="AA67" s="437">
        <v>-16783408508.612904</v>
      </c>
      <c r="AB67" s="437">
        <v>-12615129306</v>
      </c>
      <c r="AC67" s="437">
        <v>-13059634170</v>
      </c>
      <c r="AD67" s="437">
        <v>-13491842126</v>
      </c>
      <c r="AE67" s="437">
        <v>-14135477505</v>
      </c>
      <c r="AF67" s="437">
        <v>-14432966186</v>
      </c>
      <c r="AG67" s="437">
        <v>-14779595280</v>
      </c>
      <c r="AH67" s="437">
        <v>-10096718757</v>
      </c>
      <c r="AI67" s="437">
        <v>-10297596223</v>
      </c>
      <c r="AJ67" s="437">
        <v>-10722737109.073406</v>
      </c>
      <c r="AK67" s="437">
        <v>-21320918048.644833</v>
      </c>
      <c r="AL67" s="437">
        <v>-21752420335.644833</v>
      </c>
      <c r="AM67" s="437">
        <v>-22217234280.644833</v>
      </c>
      <c r="AN67" s="437">
        <v>-21926714337.644833</v>
      </c>
      <c r="AO67" s="437">
        <v>-22253712572.644833</v>
      </c>
      <c r="AP67" s="437">
        <v>-22598640499</v>
      </c>
      <c r="AQ67" s="437">
        <v>-11858130071</v>
      </c>
      <c r="AR67" s="437">
        <v>-12170199554</v>
      </c>
      <c r="AS67" s="437">
        <v>-12424321521</v>
      </c>
      <c r="AT67" s="437">
        <v>-8355605349</v>
      </c>
      <c r="AU67" s="437">
        <v>-8563893961</v>
      </c>
      <c r="AV67" s="437">
        <v>-8846892001</v>
      </c>
      <c r="AW67" s="437">
        <v>-9081706929.4838715</v>
      </c>
      <c r="AX67" s="437">
        <v>-9492139459.4838715</v>
      </c>
      <c r="AY67" s="437">
        <v>-9929706880</v>
      </c>
      <c r="AZ67" s="437">
        <v>-7157003020</v>
      </c>
      <c r="BA67" s="437">
        <v>-7477674253</v>
      </c>
      <c r="BB67" s="437">
        <v>-7741163963</v>
      </c>
      <c r="BC67" s="437">
        <v>-8241612540</v>
      </c>
      <c r="BD67" s="437">
        <v>-8463289559</v>
      </c>
      <c r="BE67" s="437">
        <v>-8737709886.666666</v>
      </c>
      <c r="BF67" s="437">
        <v>-4905899184</v>
      </c>
      <c r="BG67" s="437">
        <v>-5025414058</v>
      </c>
      <c r="BH67" s="437">
        <v>-5300359653</v>
      </c>
      <c r="BI67" s="437">
        <v>-5703926188</v>
      </c>
      <c r="BJ67" s="437">
        <v>-6082573855</v>
      </c>
      <c r="BK67" s="437">
        <v>-6507335111</v>
      </c>
      <c r="BL67" s="437">
        <v>-3013393684</v>
      </c>
      <c r="BM67" s="437">
        <v>-3080664936</v>
      </c>
      <c r="BN67" s="437">
        <v>-3445724485.666666</v>
      </c>
      <c r="BO67" s="437">
        <v>-4005495062.666666</v>
      </c>
      <c r="BP67" s="437">
        <v>-4450984735.666666</v>
      </c>
      <c r="BQ67" s="437">
        <v>-4944614625.666666</v>
      </c>
      <c r="BR67" s="437">
        <v>-2465067327.6666665</v>
      </c>
      <c r="BS67" s="437">
        <v>-2496041049</v>
      </c>
      <c r="BT67" s="437">
        <v>-2642215298</v>
      </c>
      <c r="BU67" s="437">
        <v>-113374465</v>
      </c>
    </row>
    <row r="68" spans="2:73" ht="15.95" customHeight="1">
      <c r="B68" s="1872" t="s">
        <v>707</v>
      </c>
      <c r="C68" s="1873" t="s">
        <v>204</v>
      </c>
      <c r="D68" s="427">
        <v>-25911890929.612904</v>
      </c>
      <c r="E68" s="427">
        <v>-23309899075.612904</v>
      </c>
      <c r="F68" s="92"/>
      <c r="G68" s="92"/>
      <c r="H68" s="92"/>
      <c r="I68" s="427">
        <v>-25911890929.612904</v>
      </c>
      <c r="J68" s="427">
        <v>-20696245161.612904</v>
      </c>
      <c r="K68" s="427">
        <v>-20696245161.612904</v>
      </c>
      <c r="L68" s="427">
        <v>-23309899075.612904</v>
      </c>
      <c r="M68" s="427">
        <v>-23309899075.612904</v>
      </c>
      <c r="N68" s="427">
        <v>-23309899075.612904</v>
      </c>
      <c r="O68" s="427">
        <v>-23309899075.612904</v>
      </c>
      <c r="P68" s="427">
        <v>-18584733626.612904</v>
      </c>
      <c r="Q68" s="427">
        <v>-18584733626.612904</v>
      </c>
      <c r="R68" s="427">
        <v>-20708076409.612904</v>
      </c>
      <c r="S68" s="427">
        <v>-20708076409.612904</v>
      </c>
      <c r="T68" s="427">
        <v>-20708076409.612904</v>
      </c>
      <c r="U68" s="427">
        <v>-20708076409.612904</v>
      </c>
      <c r="V68" s="427">
        <v>-15631893911.612904</v>
      </c>
      <c r="W68" s="427">
        <v>-15631893911.612904</v>
      </c>
      <c r="X68" s="427">
        <v>-18106848980</v>
      </c>
      <c r="Y68" s="427">
        <v>-18106848980</v>
      </c>
      <c r="Z68" s="427">
        <v>-18106848980</v>
      </c>
      <c r="AA68" s="427">
        <v>-18106848980</v>
      </c>
      <c r="AB68" s="427">
        <v>-13491842126</v>
      </c>
      <c r="AC68" s="427">
        <v>-13491842126</v>
      </c>
      <c r="AD68" s="427">
        <v>-15505621550</v>
      </c>
      <c r="AE68" s="427">
        <v>-15505621550</v>
      </c>
      <c r="AF68" s="427">
        <v>-15505621550</v>
      </c>
      <c r="AG68" s="427">
        <v>-15505621550</v>
      </c>
      <c r="AH68" s="427">
        <v>-10722737109</v>
      </c>
      <c r="AI68" s="427">
        <v>-10722737109</v>
      </c>
      <c r="AJ68" s="427">
        <v>-12904394120</v>
      </c>
      <c r="AK68" s="427">
        <v>-23305231182</v>
      </c>
      <c r="AL68" s="427">
        <v>-23305231182</v>
      </c>
      <c r="AM68" s="427">
        <v>-23305231182</v>
      </c>
      <c r="AN68" s="427">
        <v>-22598640499</v>
      </c>
      <c r="AO68" s="427">
        <v>-22598640499</v>
      </c>
      <c r="AP68" s="427">
        <v>-12904394120</v>
      </c>
      <c r="AQ68" s="427">
        <v>-12904394120</v>
      </c>
      <c r="AR68" s="427">
        <v>-12904394120</v>
      </c>
      <c r="AS68" s="427">
        <v>-12904394120</v>
      </c>
      <c r="AT68" s="427">
        <v>-8846892001</v>
      </c>
      <c r="AU68" s="427">
        <v>-8846892001</v>
      </c>
      <c r="AV68" s="427">
        <v>-11015946200</v>
      </c>
      <c r="AW68" s="427">
        <v>-11015946200</v>
      </c>
      <c r="AX68" s="427">
        <v>-11015946200</v>
      </c>
      <c r="AY68" s="427">
        <v>-11015946200</v>
      </c>
      <c r="AZ68" s="427">
        <v>-7741163963</v>
      </c>
      <c r="BA68" s="427">
        <v>-7741163963</v>
      </c>
      <c r="BB68" s="427">
        <v>-9127498280</v>
      </c>
      <c r="BC68" s="427">
        <v>-9127498280</v>
      </c>
      <c r="BD68" s="427">
        <v>-9127498280</v>
      </c>
      <c r="BE68" s="427">
        <v>-9127498280</v>
      </c>
      <c r="BF68" s="427">
        <v>-5300359653</v>
      </c>
      <c r="BG68" s="427">
        <v>-5300359653</v>
      </c>
      <c r="BH68" s="427">
        <v>-7239050360</v>
      </c>
      <c r="BI68" s="427">
        <v>-7239050360</v>
      </c>
      <c r="BJ68" s="427">
        <v>-7239050360</v>
      </c>
      <c r="BK68" s="427">
        <v>-7239050360</v>
      </c>
      <c r="BL68" s="427">
        <v>-3445724486</v>
      </c>
      <c r="BM68" s="427">
        <v>-3445724486</v>
      </c>
      <c r="BN68" s="427">
        <v>-5350602440</v>
      </c>
      <c r="BO68" s="427">
        <v>-5350602440</v>
      </c>
      <c r="BP68" s="427">
        <v>-5350602440</v>
      </c>
      <c r="BQ68" s="427">
        <v>-5350602440</v>
      </c>
      <c r="BR68" s="427">
        <v>-2642215298</v>
      </c>
      <c r="BS68" s="427">
        <v>-2642215298</v>
      </c>
      <c r="BT68" s="427">
        <v>-3462154520</v>
      </c>
      <c r="BU68" s="427">
        <v>-1573706600</v>
      </c>
    </row>
    <row r="69" spans="2:73" ht="15.95" customHeight="1">
      <c r="B69" s="1872" t="s">
        <v>709</v>
      </c>
      <c r="C69" s="1873" t="s">
        <v>205</v>
      </c>
      <c r="D69" s="423">
        <v>0</v>
      </c>
      <c r="E69" s="424">
        <v>0</v>
      </c>
      <c r="F69" s="91"/>
      <c r="G69" s="91"/>
      <c r="H69" s="91"/>
      <c r="I69" s="424">
        <v>0</v>
      </c>
      <c r="J69" s="424">
        <v>0</v>
      </c>
      <c r="K69" s="424">
        <v>0</v>
      </c>
      <c r="L69" s="424">
        <v>0</v>
      </c>
      <c r="M69" s="424">
        <v>0</v>
      </c>
      <c r="N69" s="424">
        <v>0</v>
      </c>
      <c r="O69" s="424">
        <v>0</v>
      </c>
      <c r="P69" s="424">
        <v>0</v>
      </c>
      <c r="Q69" s="424">
        <v>0</v>
      </c>
      <c r="R69" s="424">
        <v>0</v>
      </c>
      <c r="S69" s="424">
        <v>0</v>
      </c>
      <c r="T69" s="424">
        <v>0</v>
      </c>
      <c r="U69" s="424">
        <v>0</v>
      </c>
      <c r="V69" s="424">
        <v>0</v>
      </c>
      <c r="W69" s="424">
        <v>0</v>
      </c>
      <c r="X69" s="424">
        <v>0</v>
      </c>
      <c r="Y69" s="424">
        <v>0</v>
      </c>
      <c r="Z69" s="424">
        <v>0</v>
      </c>
      <c r="AA69" s="424">
        <v>0</v>
      </c>
      <c r="AB69" s="424">
        <v>0</v>
      </c>
      <c r="AC69" s="424">
        <v>0</v>
      </c>
      <c r="AD69" s="424">
        <v>0</v>
      </c>
      <c r="AE69" s="424">
        <v>0</v>
      </c>
      <c r="AF69" s="424">
        <v>0</v>
      </c>
      <c r="AG69" s="424">
        <v>0</v>
      </c>
      <c r="AH69" s="424">
        <v>0</v>
      </c>
      <c r="AI69" s="424">
        <v>0</v>
      </c>
      <c r="AJ69" s="424">
        <v>0</v>
      </c>
      <c r="AK69" s="424">
        <v>0</v>
      </c>
      <c r="AL69" s="424">
        <v>0</v>
      </c>
      <c r="AM69" s="424">
        <v>0</v>
      </c>
      <c r="AN69" s="424">
        <v>0</v>
      </c>
      <c r="AO69" s="424">
        <v>0</v>
      </c>
      <c r="AP69" s="424">
        <v>0</v>
      </c>
      <c r="AQ69" s="424">
        <v>0</v>
      </c>
      <c r="AR69" s="424">
        <v>0</v>
      </c>
      <c r="AS69" s="424">
        <v>0</v>
      </c>
      <c r="AT69" s="424">
        <v>0</v>
      </c>
      <c r="AU69" s="424">
        <v>0</v>
      </c>
      <c r="AV69" s="424">
        <v>0</v>
      </c>
      <c r="AW69" s="424">
        <v>0</v>
      </c>
      <c r="AX69" s="424">
        <v>0</v>
      </c>
      <c r="AY69" s="424">
        <v>0</v>
      </c>
      <c r="AZ69" s="424">
        <v>0</v>
      </c>
      <c r="BA69" s="424">
        <v>0</v>
      </c>
      <c r="BB69" s="424">
        <v>0</v>
      </c>
      <c r="BC69" s="424">
        <v>0</v>
      </c>
      <c r="BD69" s="424">
        <v>0</v>
      </c>
      <c r="BE69" s="424">
        <v>0</v>
      </c>
      <c r="BF69" s="424">
        <v>0</v>
      </c>
      <c r="BG69" s="424">
        <v>0</v>
      </c>
      <c r="BH69" s="424">
        <v>0</v>
      </c>
      <c r="BI69" s="424">
        <v>0</v>
      </c>
      <c r="BJ69" s="424">
        <v>0</v>
      </c>
      <c r="BK69" s="424">
        <v>0</v>
      </c>
      <c r="BL69" s="424">
        <v>0</v>
      </c>
      <c r="BM69" s="424">
        <v>0</v>
      </c>
      <c r="BN69" s="424">
        <v>0</v>
      </c>
      <c r="BO69" s="424">
        <v>0</v>
      </c>
      <c r="BP69" s="424">
        <v>0</v>
      </c>
      <c r="BQ69" s="424">
        <v>0</v>
      </c>
      <c r="BR69" s="424">
        <v>0</v>
      </c>
      <c r="BS69" s="424">
        <v>0</v>
      </c>
      <c r="BT69" s="424">
        <v>0</v>
      </c>
      <c r="BU69" s="424">
        <v>0</v>
      </c>
    </row>
    <row r="70" spans="2:73" ht="15.95" customHeight="1">
      <c r="B70" s="1872" t="s">
        <v>191</v>
      </c>
      <c r="C70" s="1873" t="s">
        <v>766</v>
      </c>
      <c r="D70" s="423">
        <v>1880221749</v>
      </c>
      <c r="E70" s="424">
        <v>2613653914</v>
      </c>
      <c r="F70" s="91"/>
      <c r="G70" s="91"/>
      <c r="H70" s="91"/>
      <c r="I70" s="424">
        <v>1306634311</v>
      </c>
      <c r="J70" s="424">
        <v>914432164</v>
      </c>
      <c r="K70" s="424">
        <v>624874483</v>
      </c>
      <c r="L70" s="424">
        <v>2613653914</v>
      </c>
      <c r="M70" s="424">
        <v>2262936588</v>
      </c>
      <c r="N70" s="424">
        <v>1914059693</v>
      </c>
      <c r="O70" s="424">
        <v>1350009805</v>
      </c>
      <c r="P70" s="424">
        <v>791942432</v>
      </c>
      <c r="Q70" s="424">
        <v>297140242</v>
      </c>
      <c r="R70" s="424">
        <v>2123342783</v>
      </c>
      <c r="S70" s="424">
        <v>1473545683</v>
      </c>
      <c r="T70" s="424">
        <v>1099960709</v>
      </c>
      <c r="U70" s="424">
        <v>720016838</v>
      </c>
      <c r="V70" s="424">
        <v>694646557.19999981</v>
      </c>
      <c r="W70" s="424">
        <v>464280213.20000005</v>
      </c>
      <c r="X70" s="424">
        <v>2474955068.3870964</v>
      </c>
      <c r="Y70" s="424">
        <v>2365784320.3870964</v>
      </c>
      <c r="Z70" s="424">
        <v>1870385493.3870964</v>
      </c>
      <c r="AA70" s="424">
        <v>1323440471.3870964</v>
      </c>
      <c r="AB70" s="424">
        <v>876712820</v>
      </c>
      <c r="AC70" s="424">
        <v>432207956</v>
      </c>
      <c r="AD70" s="424">
        <v>2013779424</v>
      </c>
      <c r="AE70" s="424">
        <v>1370144045</v>
      </c>
      <c r="AF70" s="424">
        <v>1072655364</v>
      </c>
      <c r="AG70" s="424">
        <v>726026270</v>
      </c>
      <c r="AH70" s="424">
        <v>626018352</v>
      </c>
      <c r="AI70" s="424">
        <v>425140886</v>
      </c>
      <c r="AJ70" s="424">
        <v>2181657010.9265938</v>
      </c>
      <c r="AK70" s="424">
        <v>1984313133.3551674</v>
      </c>
      <c r="AL70" s="424">
        <v>1552810846.3551674</v>
      </c>
      <c r="AM70" s="424">
        <v>1087996901.3551674</v>
      </c>
      <c r="AN70" s="424">
        <v>671926161.35516691</v>
      </c>
      <c r="AO70" s="424">
        <v>344927926.35516667</v>
      </c>
      <c r="AP70" s="424">
        <v>-9694246379</v>
      </c>
      <c r="AQ70" s="424">
        <v>1046264049</v>
      </c>
      <c r="AR70" s="424">
        <v>734194566</v>
      </c>
      <c r="AS70" s="424">
        <v>480072599</v>
      </c>
      <c r="AT70" s="424">
        <v>491286652</v>
      </c>
      <c r="AU70" s="424">
        <v>282998040</v>
      </c>
      <c r="AV70" s="424">
        <v>2169054199</v>
      </c>
      <c r="AW70" s="424">
        <v>1934239270.5161285</v>
      </c>
      <c r="AX70" s="424">
        <v>1523806740.5161285</v>
      </c>
      <c r="AY70" s="424">
        <v>1086239320</v>
      </c>
      <c r="AZ70" s="424">
        <v>584160943</v>
      </c>
      <c r="BA70" s="424">
        <v>263489710</v>
      </c>
      <c r="BB70" s="424">
        <v>1386334317</v>
      </c>
      <c r="BC70" s="424">
        <v>885885740</v>
      </c>
      <c r="BD70" s="424">
        <v>664208721</v>
      </c>
      <c r="BE70" s="424">
        <v>389788393.33333397</v>
      </c>
      <c r="BF70" s="424">
        <v>394460469</v>
      </c>
      <c r="BG70" s="424">
        <v>274945595</v>
      </c>
      <c r="BH70" s="424">
        <v>1938690707</v>
      </c>
      <c r="BI70" s="424">
        <v>1535124172</v>
      </c>
      <c r="BJ70" s="424">
        <v>1156476505</v>
      </c>
      <c r="BK70" s="424">
        <v>731715249</v>
      </c>
      <c r="BL70" s="424">
        <v>432330802</v>
      </c>
      <c r="BM70" s="424">
        <v>365059550</v>
      </c>
      <c r="BN70" s="424">
        <v>1904877954.333334</v>
      </c>
      <c r="BO70" s="424">
        <v>1345107377.333334</v>
      </c>
      <c r="BP70" s="424">
        <v>899617704.33333397</v>
      </c>
      <c r="BQ70" s="424">
        <v>405987814.33333397</v>
      </c>
      <c r="BR70" s="424">
        <v>177147970.33333349</v>
      </c>
      <c r="BS70" s="424">
        <v>146174249</v>
      </c>
      <c r="BT70" s="424">
        <v>819939222</v>
      </c>
      <c r="BU70" s="424">
        <v>1460332135</v>
      </c>
    </row>
    <row r="71" spans="2:73" ht="15.95" customHeight="1">
      <c r="B71" s="2757" t="s">
        <v>767</v>
      </c>
      <c r="C71" s="2758"/>
      <c r="D71" s="901">
        <f>SUM(D55,D59,D63,D67,D65)</f>
        <v>121770766891.3871</v>
      </c>
      <c r="E71" s="902">
        <v>125106190910.3871</v>
      </c>
      <c r="F71" s="90"/>
      <c r="G71" s="90"/>
      <c r="H71" s="90"/>
      <c r="I71" s="902">
        <v>121197179453.3871</v>
      </c>
      <c r="J71" s="902">
        <v>126020623074.3871</v>
      </c>
      <c r="K71" s="902">
        <v>125731065393.3871</v>
      </c>
      <c r="L71" s="902">
        <v>125106190910.3871</v>
      </c>
      <c r="M71" s="902">
        <v>124755473584.3871</v>
      </c>
      <c r="N71" s="902">
        <v>124406596689.3871</v>
      </c>
      <c r="O71" s="902">
        <v>123842546801.3871</v>
      </c>
      <c r="P71" s="902">
        <v>128009644877.3871</v>
      </c>
      <c r="Q71" s="902">
        <v>127514842687.3871</v>
      </c>
      <c r="R71" s="902">
        <v>127217702445.3871</v>
      </c>
      <c r="S71" s="902">
        <v>126567905345.3871</v>
      </c>
      <c r="T71" s="902">
        <v>126194320371.3871</v>
      </c>
      <c r="U71" s="902">
        <v>125814376500.3871</v>
      </c>
      <c r="V71" s="902">
        <v>130865188717.5871</v>
      </c>
      <c r="W71" s="902">
        <v>130634822373.5871</v>
      </c>
      <c r="X71" s="902">
        <v>130170542160.3871</v>
      </c>
      <c r="Y71" s="902">
        <v>130061371412.3871</v>
      </c>
      <c r="Z71" s="902">
        <v>129565972585.3871</v>
      </c>
      <c r="AA71" s="902">
        <v>129019027563.3871</v>
      </c>
      <c r="AB71" s="902">
        <v>133187306766</v>
      </c>
      <c r="AC71" s="902">
        <v>132742801902</v>
      </c>
      <c r="AD71" s="902">
        <v>132310593946</v>
      </c>
      <c r="AE71" s="902">
        <v>131666958567</v>
      </c>
      <c r="AF71" s="902">
        <v>131369469886</v>
      </c>
      <c r="AG71" s="902">
        <v>131022840792</v>
      </c>
      <c r="AH71" s="902">
        <v>135705717315</v>
      </c>
      <c r="AI71" s="902">
        <v>135504839849</v>
      </c>
      <c r="AJ71" s="902">
        <v>135079698962.92659</v>
      </c>
      <c r="AK71" s="902">
        <v>134882355085.35516</v>
      </c>
      <c r="AL71" s="902">
        <v>134450852798.35516</v>
      </c>
      <c r="AM71" s="902">
        <v>133986038853.35516</v>
      </c>
      <c r="AN71" s="902">
        <v>134276558796.35516</v>
      </c>
      <c r="AO71" s="902">
        <v>133949560561.35516</v>
      </c>
      <c r="AP71" s="902">
        <v>133604632635</v>
      </c>
      <c r="AQ71" s="902">
        <v>75560429169</v>
      </c>
      <c r="AR71" s="902">
        <v>75248359686</v>
      </c>
      <c r="AS71" s="902">
        <v>74994237719</v>
      </c>
      <c r="AT71" s="902">
        <v>79062953891</v>
      </c>
      <c r="AU71" s="902">
        <v>78854665279</v>
      </c>
      <c r="AV71" s="902">
        <v>78571667239</v>
      </c>
      <c r="AW71" s="902">
        <v>78336852310.516129</v>
      </c>
      <c r="AX71" s="902">
        <v>77926419780.516129</v>
      </c>
      <c r="AY71" s="902">
        <v>77488852360</v>
      </c>
      <c r="AZ71" s="902">
        <v>80261556220</v>
      </c>
      <c r="BA71" s="902">
        <v>79940884987</v>
      </c>
      <c r="BB71" s="902">
        <v>79677395277</v>
      </c>
      <c r="BC71" s="902">
        <v>79176946700</v>
      </c>
      <c r="BD71" s="902">
        <v>78955269681</v>
      </c>
      <c r="BE71" s="902">
        <v>78680849353.333328</v>
      </c>
      <c r="BF71" s="902">
        <v>82512660056</v>
      </c>
      <c r="BG71" s="902">
        <v>82393145182</v>
      </c>
      <c r="BH71" s="902">
        <v>82118199587</v>
      </c>
      <c r="BI71" s="902">
        <v>81714633052</v>
      </c>
      <c r="BJ71" s="902">
        <v>81335985385</v>
      </c>
      <c r="BK71" s="902">
        <v>80911224129</v>
      </c>
      <c r="BL71" s="902">
        <v>84405165556</v>
      </c>
      <c r="BM71" s="902">
        <v>84337894304</v>
      </c>
      <c r="BN71" s="902">
        <v>83972834754.333328</v>
      </c>
      <c r="BO71" s="902">
        <v>83413064177.333328</v>
      </c>
      <c r="BP71" s="902">
        <v>82967574504.333328</v>
      </c>
      <c r="BQ71" s="902">
        <v>82473944614.333328</v>
      </c>
      <c r="BR71" s="902">
        <v>84953491912.333328</v>
      </c>
      <c r="BS71" s="902">
        <v>84922518191</v>
      </c>
      <c r="BT71" s="902">
        <v>84776343942</v>
      </c>
      <c r="BU71" s="902">
        <v>87305184775</v>
      </c>
    </row>
    <row r="72" spans="2:73">
      <c r="B72" s="2757" t="s">
        <v>768</v>
      </c>
      <c r="C72" s="2758"/>
      <c r="D72" s="901">
        <f>SUM(D53,D71)</f>
        <v>405840891161.38708</v>
      </c>
      <c r="E72" s="902">
        <v>409066722871.38708</v>
      </c>
      <c r="F72" s="90"/>
      <c r="G72" s="90"/>
      <c r="H72" s="90"/>
      <c r="I72" s="902">
        <v>405051799316.38708</v>
      </c>
      <c r="J72" s="902">
        <v>411362962940.38708</v>
      </c>
      <c r="K72" s="902">
        <v>410113844249.38708</v>
      </c>
      <c r="L72" s="902">
        <v>409066722871.38708</v>
      </c>
      <c r="M72" s="902">
        <v>409523965509.38708</v>
      </c>
      <c r="N72" s="902">
        <v>408384051722.38708</v>
      </c>
      <c r="O72" s="902">
        <v>407309268243.38708</v>
      </c>
      <c r="P72" s="902">
        <v>412649394495.38708</v>
      </c>
      <c r="Q72" s="902">
        <v>411232832893.38708</v>
      </c>
      <c r="R72" s="902">
        <v>410800409734.38708</v>
      </c>
      <c r="S72" s="902">
        <v>411564738452.38708</v>
      </c>
      <c r="T72" s="902">
        <v>410393071620.38708</v>
      </c>
      <c r="U72" s="902">
        <v>409538928305.38708</v>
      </c>
      <c r="V72" s="902">
        <v>415795413733.5871</v>
      </c>
      <c r="W72" s="902">
        <v>414583931017.5871</v>
      </c>
      <c r="X72" s="902">
        <v>413970485818.38708</v>
      </c>
      <c r="Y72" s="902">
        <v>415145463989.38708</v>
      </c>
      <c r="Z72" s="902">
        <v>413875907872.38708</v>
      </c>
      <c r="AA72" s="902">
        <v>412866274278.38708</v>
      </c>
      <c r="AB72" s="902">
        <v>418114104593</v>
      </c>
      <c r="AC72" s="902">
        <v>416787261711</v>
      </c>
      <c r="AD72" s="902">
        <v>416231277761</v>
      </c>
      <c r="AE72" s="902">
        <v>416957228595</v>
      </c>
      <c r="AF72" s="902">
        <v>415745611894</v>
      </c>
      <c r="AG72" s="902">
        <v>415069380986</v>
      </c>
      <c r="AH72" s="902">
        <v>420893121867</v>
      </c>
      <c r="AI72" s="902">
        <v>419792101486</v>
      </c>
      <c r="AJ72" s="902">
        <v>419217494049.92657</v>
      </c>
      <c r="AK72" s="902">
        <v>421093022731.35516</v>
      </c>
      <c r="AL72" s="902">
        <v>419874865121.35516</v>
      </c>
      <c r="AM72" s="902">
        <v>418597475444.35516</v>
      </c>
      <c r="AN72" s="902">
        <v>420413360182.35516</v>
      </c>
      <c r="AO72" s="902">
        <v>419254859577.35516</v>
      </c>
      <c r="AP72" s="902">
        <v>418102284156</v>
      </c>
      <c r="AQ72" s="902">
        <v>319500241297</v>
      </c>
      <c r="AR72" s="902">
        <v>320382306439</v>
      </c>
      <c r="AS72" s="902">
        <v>319620583228</v>
      </c>
      <c r="AT72" s="902">
        <v>322876998754</v>
      </c>
      <c r="AU72" s="902">
        <v>323718964444</v>
      </c>
      <c r="AV72" s="902">
        <v>322897379878</v>
      </c>
      <c r="AW72" s="902">
        <v>321783738160.51611</v>
      </c>
      <c r="AX72" s="902">
        <v>322579796149.51611</v>
      </c>
      <c r="AY72" s="902">
        <v>320719425621</v>
      </c>
      <c r="AZ72" s="902">
        <v>322634058766</v>
      </c>
      <c r="BA72" s="902">
        <v>323131616725</v>
      </c>
      <c r="BB72" s="902">
        <v>322661398575</v>
      </c>
      <c r="BC72" s="902">
        <v>321823920218</v>
      </c>
      <c r="BD72" s="902">
        <v>322559886738</v>
      </c>
      <c r="BE72" s="902">
        <v>321993059337.66669</v>
      </c>
      <c r="BF72" s="902">
        <v>324932045463</v>
      </c>
      <c r="BG72" s="902">
        <v>325673224312</v>
      </c>
      <c r="BH72" s="902">
        <v>325202888354</v>
      </c>
      <c r="BI72" s="902">
        <v>323967939097</v>
      </c>
      <c r="BJ72" s="902">
        <v>324555334101</v>
      </c>
      <c r="BK72" s="902">
        <v>324061642290</v>
      </c>
      <c r="BL72" s="902">
        <v>326485962814</v>
      </c>
      <c r="BM72" s="902">
        <v>327481177167</v>
      </c>
      <c r="BN72" s="902">
        <v>327096539263.33331</v>
      </c>
      <c r="BO72" s="902">
        <v>325936823667.33331</v>
      </c>
      <c r="BP72" s="902">
        <v>326197645997.33331</v>
      </c>
      <c r="BQ72" s="902">
        <v>325371339052.33331</v>
      </c>
      <c r="BR72" s="902">
        <v>326903305995.33331</v>
      </c>
      <c r="BS72" s="902">
        <v>327698464470</v>
      </c>
      <c r="BT72" s="902">
        <v>327292310028</v>
      </c>
      <c r="BU72" s="902">
        <v>329118563926</v>
      </c>
    </row>
    <row r="73" spans="2:73">
      <c r="D73" s="95" t="b">
        <f>D31=D72</f>
        <v>1</v>
      </c>
      <c r="E73" s="10" t="b">
        <f>E31=E72</f>
        <v>1</v>
      </c>
      <c r="F73" s="96"/>
      <c r="G73" s="96"/>
      <c r="H73" s="96"/>
      <c r="I73" s="96"/>
      <c r="J73" s="96"/>
      <c r="K73" s="96"/>
      <c r="L73" s="96"/>
      <c r="M73" s="96"/>
      <c r="N73" s="96"/>
      <c r="O73" s="96"/>
      <c r="P73" s="96"/>
      <c r="Q73" s="96"/>
      <c r="R73" s="96"/>
      <c r="S73" s="96"/>
      <c r="T73" s="96"/>
      <c r="U73" s="96"/>
      <c r="V73" s="96"/>
      <c r="W73" s="96"/>
      <c r="X73" s="96"/>
      <c r="Y73" s="96"/>
      <c r="Z73" s="96"/>
      <c r="AA73" s="96"/>
      <c r="AB73" s="96"/>
      <c r="AC73" s="96"/>
      <c r="AD73" s="96"/>
      <c r="AE73" s="96"/>
      <c r="AF73" s="96"/>
      <c r="AG73" s="96"/>
      <c r="AH73" s="96"/>
      <c r="AI73" s="96"/>
      <c r="AJ73" s="96"/>
      <c r="AK73" s="96"/>
      <c r="AL73" s="96"/>
      <c r="AM73" s="96"/>
      <c r="AN73" s="96"/>
      <c r="AO73" s="96"/>
      <c r="AP73" s="96"/>
      <c r="AQ73" s="96"/>
      <c r="AR73" s="96"/>
      <c r="AS73" s="96"/>
      <c r="AT73" s="96"/>
      <c r="AU73" s="96"/>
      <c r="AV73" s="96"/>
      <c r="AW73" s="96"/>
      <c r="AX73" s="96"/>
      <c r="AY73" s="96"/>
      <c r="AZ73" s="96"/>
      <c r="BA73" s="96"/>
      <c r="BB73" s="96"/>
      <c r="BC73" s="96"/>
      <c r="BD73" s="96"/>
      <c r="BE73" s="96"/>
      <c r="BF73" s="96"/>
      <c r="BG73" s="96"/>
      <c r="BH73" s="10"/>
      <c r="BI73" s="10"/>
      <c r="BM73" s="97"/>
      <c r="BT73" s="10"/>
      <c r="BU73" s="10"/>
    </row>
    <row r="74" spans="2:73">
      <c r="D74" s="98"/>
      <c r="BT74" s="8"/>
      <c r="BU74" s="8"/>
    </row>
    <row r="76" spans="2:73">
      <c r="D76" s="99">
        <f>D31-D72</f>
        <v>0</v>
      </c>
      <c r="BT76" s="53"/>
      <c r="BU76" s="53"/>
    </row>
  </sheetData>
  <mergeCells count="23">
    <mergeCell ref="B53:C53"/>
    <mergeCell ref="B54:C54"/>
    <mergeCell ref="B2:E2"/>
    <mergeCell ref="B3:E3"/>
    <mergeCell ref="B4:E4"/>
    <mergeCell ref="B8:C8"/>
    <mergeCell ref="B9:C9"/>
    <mergeCell ref="B72:C72"/>
    <mergeCell ref="B10:C10"/>
    <mergeCell ref="B63:C63"/>
    <mergeCell ref="B65:C65"/>
    <mergeCell ref="B67:C67"/>
    <mergeCell ref="B71:C71"/>
    <mergeCell ref="B55:C55"/>
    <mergeCell ref="B59:C59"/>
    <mergeCell ref="B20:C20"/>
    <mergeCell ref="B21:C21"/>
    <mergeCell ref="B23:C23"/>
    <mergeCell ref="B28:C28"/>
    <mergeCell ref="B31:C31"/>
    <mergeCell ref="B32:C32"/>
    <mergeCell ref="B33:C33"/>
    <mergeCell ref="B50:C50"/>
  </mergeCells>
  <phoneticPr fontId="6" type="noConversion"/>
  <pageMargins left="0.7" right="0.7" top="0.75" bottom="0.75" header="0.3" footer="0.3"/>
  <pageSetup paperSize="9" scale="60" orientation="portrait" r:id="rId1"/>
  <rowBreaks count="1" manualBreakCount="1">
    <brk id="74" max="6" man="1"/>
  </rowBreak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  <pageSetUpPr fitToPage="1"/>
  </sheetPr>
  <dimension ref="A2:J72"/>
  <sheetViews>
    <sheetView showGridLines="0" view="pageBreakPreview" zoomScale="70" zoomScaleNormal="10" zoomScaleSheetLayoutView="70" workbookViewId="0">
      <selection activeCell="C2" sqref="C2"/>
    </sheetView>
  </sheetViews>
  <sheetFormatPr defaultColWidth="8.75" defaultRowHeight="17.100000000000001" customHeight="1"/>
  <cols>
    <col min="1" max="1" width="3.25" style="1" customWidth="1"/>
    <col min="2" max="2" width="4.125" style="63" customWidth="1"/>
    <col min="3" max="3" width="19.875" style="1" customWidth="1"/>
    <col min="4" max="5" width="25.75" style="1" customWidth="1"/>
    <col min="6" max="6" width="2.625" style="1" customWidth="1"/>
    <col min="7" max="7" width="17.25" style="100" bestFit="1" customWidth="1"/>
    <col min="8" max="8" width="17.25" style="1" bestFit="1" customWidth="1"/>
    <col min="9" max="9" width="15.375" style="53" bestFit="1" customWidth="1"/>
    <col min="10" max="16384" width="8.75" style="1"/>
  </cols>
  <sheetData>
    <row r="2" spans="1:10" ht="26.45" customHeight="1">
      <c r="A2" s="924"/>
      <c r="B2" s="2118" t="s">
        <v>2048</v>
      </c>
      <c r="C2" s="925"/>
      <c r="D2" s="925"/>
      <c r="E2" s="925"/>
      <c r="F2" s="925"/>
    </row>
    <row r="3" spans="1:10" ht="16.5" customHeight="1">
      <c r="B3" s="2773"/>
      <c r="C3" s="2773"/>
      <c r="D3" s="2773"/>
      <c r="E3" s="2773"/>
    </row>
    <row r="4" spans="1:10" ht="16.5" customHeight="1">
      <c r="B4" s="2773"/>
      <c r="C4" s="2773"/>
      <c r="D4" s="2773"/>
      <c r="E4" s="2773"/>
    </row>
    <row r="5" spans="1:10" ht="17.100000000000001" customHeight="1">
      <c r="B5" s="51" t="s">
        <v>702</v>
      </c>
    </row>
    <row r="6" spans="1:10" s="55" customFormat="1" ht="17.100000000000001" customHeight="1">
      <c r="B6" s="56"/>
      <c r="C6" s="57" t="s">
        <v>206</v>
      </c>
      <c r="D6" s="908" t="s">
        <v>2130</v>
      </c>
      <c r="E6" s="909" t="s">
        <v>2000</v>
      </c>
      <c r="F6" s="1"/>
      <c r="G6" s="101"/>
      <c r="H6" s="101"/>
      <c r="I6" s="61"/>
    </row>
    <row r="7" spans="1:10" s="58" customFormat="1" ht="17.100000000000001" customHeight="1">
      <c r="B7" s="2769" t="s">
        <v>216</v>
      </c>
      <c r="C7" s="2770"/>
      <c r="D7" s="910">
        <v>2156845734</v>
      </c>
      <c r="E7" s="911">
        <v>2062278609</v>
      </c>
      <c r="F7" s="54"/>
      <c r="G7" s="101"/>
      <c r="H7" s="101"/>
      <c r="I7" s="101"/>
    </row>
    <row r="8" spans="1:10" s="55" customFormat="1" ht="17.100000000000001" customHeight="1">
      <c r="B8" s="1878"/>
      <c r="C8" s="55" t="s">
        <v>556</v>
      </c>
      <c r="D8" s="912">
        <v>1177965381</v>
      </c>
      <c r="E8" s="913">
        <v>1100520070</v>
      </c>
      <c r="F8" s="54"/>
      <c r="G8" s="101"/>
      <c r="H8" s="101"/>
      <c r="I8" s="101"/>
      <c r="J8" s="58"/>
    </row>
    <row r="9" spans="1:10" s="55" customFormat="1" ht="17.100000000000001" customHeight="1">
      <c r="B9" s="1878"/>
      <c r="C9" s="55" t="s">
        <v>836</v>
      </c>
      <c r="D9" s="912">
        <v>928582470</v>
      </c>
      <c r="E9" s="913">
        <v>927074540</v>
      </c>
      <c r="F9" s="54"/>
      <c r="G9" s="101"/>
      <c r="H9" s="101"/>
      <c r="I9" s="101"/>
      <c r="J9" s="58"/>
    </row>
    <row r="10" spans="1:10" s="55" customFormat="1" ht="17.100000000000001" customHeight="1">
      <c r="B10" s="1878"/>
      <c r="C10" s="55" t="s">
        <v>837</v>
      </c>
      <c r="D10" s="912">
        <v>50297883</v>
      </c>
      <c r="E10" s="913">
        <v>34683999</v>
      </c>
      <c r="F10" s="54"/>
      <c r="G10" s="101"/>
      <c r="H10" s="101"/>
      <c r="I10" s="101"/>
      <c r="J10" s="58"/>
    </row>
    <row r="11" spans="1:10" s="55" customFormat="1" ht="17.100000000000001" customHeight="1">
      <c r="B11" s="1878"/>
      <c r="C11" s="55" t="s">
        <v>838</v>
      </c>
      <c r="D11" s="912">
        <v>0</v>
      </c>
      <c r="E11" s="913">
        <v>0</v>
      </c>
      <c r="F11" s="1"/>
      <c r="G11" s="101"/>
      <c r="H11" s="101"/>
      <c r="I11" s="101"/>
      <c r="J11" s="58"/>
    </row>
    <row r="12" spans="1:10" s="58" customFormat="1" ht="17.100000000000001" customHeight="1">
      <c r="B12" s="2769" t="s">
        <v>557</v>
      </c>
      <c r="C12" s="2770"/>
      <c r="D12" s="910">
        <v>977412020</v>
      </c>
      <c r="E12" s="911">
        <v>1085636031</v>
      </c>
      <c r="F12" s="54"/>
      <c r="G12" s="101"/>
      <c r="H12" s="101"/>
      <c r="I12" s="101"/>
    </row>
    <row r="13" spans="1:10" s="9" customFormat="1" ht="17.100000000000001" customHeight="1">
      <c r="B13" s="2771" t="s">
        <v>839</v>
      </c>
      <c r="C13" s="2772"/>
      <c r="D13" s="914">
        <v>427650949</v>
      </c>
      <c r="E13" s="903">
        <v>540277395</v>
      </c>
      <c r="F13" s="54"/>
      <c r="G13" s="101"/>
      <c r="H13" s="101"/>
      <c r="I13" s="101"/>
      <c r="J13" s="58"/>
    </row>
    <row r="14" spans="1:10" s="9" customFormat="1" ht="17.100000000000001" customHeight="1">
      <c r="B14" s="1887"/>
      <c r="C14" s="9" t="s">
        <v>840</v>
      </c>
      <c r="D14" s="912">
        <v>0</v>
      </c>
      <c r="E14" s="913">
        <v>28442430</v>
      </c>
      <c r="F14" s="54"/>
      <c r="G14" s="101"/>
      <c r="H14" s="101"/>
      <c r="I14" s="101"/>
      <c r="J14" s="58"/>
    </row>
    <row r="15" spans="1:10" s="9" customFormat="1" ht="17.100000000000001" customHeight="1">
      <c r="B15" s="1887"/>
      <c r="C15" s="9" t="s">
        <v>841</v>
      </c>
      <c r="D15" s="912">
        <v>0</v>
      </c>
      <c r="E15" s="913">
        <v>103577700</v>
      </c>
      <c r="G15" s="101"/>
      <c r="H15" s="101"/>
      <c r="I15" s="101"/>
      <c r="J15" s="58"/>
    </row>
    <row r="16" spans="1:10" s="9" customFormat="1" ht="17.100000000000001" customHeight="1">
      <c r="B16" s="1887"/>
      <c r="C16" s="9" t="s">
        <v>217</v>
      </c>
      <c r="D16" s="912">
        <v>13944640</v>
      </c>
      <c r="E16" s="913">
        <v>13944640</v>
      </c>
      <c r="F16" s="1"/>
      <c r="G16" s="101"/>
      <c r="H16" s="101"/>
      <c r="I16" s="101"/>
      <c r="J16" s="58"/>
    </row>
    <row r="17" spans="2:10" s="9" customFormat="1" ht="17.100000000000001" customHeight="1">
      <c r="B17" s="1887"/>
      <c r="C17" s="9" t="s">
        <v>218</v>
      </c>
      <c r="D17" s="912">
        <v>0</v>
      </c>
      <c r="E17" s="913">
        <v>0</v>
      </c>
      <c r="F17" s="1"/>
      <c r="G17" s="101"/>
      <c r="H17" s="101"/>
      <c r="I17" s="101"/>
      <c r="J17" s="58"/>
    </row>
    <row r="18" spans="2:10" s="9" customFormat="1" ht="17.100000000000001" customHeight="1">
      <c r="B18" s="1887"/>
      <c r="C18" s="9" t="s">
        <v>842</v>
      </c>
      <c r="D18" s="912">
        <v>413706309</v>
      </c>
      <c r="E18" s="913">
        <v>394312625</v>
      </c>
      <c r="F18" s="1"/>
      <c r="G18" s="101"/>
      <c r="H18" s="101"/>
      <c r="I18" s="101"/>
      <c r="J18" s="58"/>
    </row>
    <row r="19" spans="2:10" s="9" customFormat="1" ht="17.100000000000001" customHeight="1">
      <c r="B19" s="2767" t="s">
        <v>219</v>
      </c>
      <c r="C19" s="2768"/>
      <c r="D19" s="915">
        <v>549761071</v>
      </c>
      <c r="E19" s="916">
        <v>545358636</v>
      </c>
      <c r="F19" s="54"/>
      <c r="G19" s="101"/>
      <c r="H19" s="101"/>
      <c r="I19" s="101"/>
      <c r="J19" s="58"/>
    </row>
    <row r="20" spans="2:10" s="9" customFormat="1" ht="17.100000000000001" customHeight="1">
      <c r="B20" s="1887"/>
      <c r="C20" s="9" t="s">
        <v>843</v>
      </c>
      <c r="D20" s="912">
        <v>1400000</v>
      </c>
      <c r="E20" s="913">
        <v>1400000</v>
      </c>
      <c r="F20" s="1"/>
      <c r="G20" s="904"/>
      <c r="H20" s="101"/>
      <c r="I20" s="101"/>
      <c r="J20" s="58"/>
    </row>
    <row r="21" spans="2:10" s="59" customFormat="1" ht="17.100000000000001" customHeight="1">
      <c r="B21" s="1888"/>
      <c r="C21" s="59" t="s">
        <v>844</v>
      </c>
      <c r="D21" s="917">
        <v>433558284</v>
      </c>
      <c r="E21" s="118">
        <v>433558284</v>
      </c>
      <c r="F21" s="905"/>
      <c r="G21" s="101"/>
      <c r="H21" s="101"/>
      <c r="I21" s="101"/>
      <c r="J21" s="58"/>
    </row>
    <row r="22" spans="2:10" s="9" customFormat="1" ht="17.100000000000001" customHeight="1">
      <c r="B22" s="1887"/>
      <c r="C22" s="9" t="s">
        <v>220</v>
      </c>
      <c r="D22" s="912">
        <v>2464903</v>
      </c>
      <c r="E22" s="913">
        <v>2385390</v>
      </c>
      <c r="F22" s="54"/>
      <c r="G22" s="101"/>
      <c r="H22" s="101"/>
      <c r="I22" s="101"/>
      <c r="J22" s="58"/>
    </row>
    <row r="23" spans="2:10" s="9" customFormat="1" ht="17.100000000000001" customHeight="1">
      <c r="B23" s="1887"/>
      <c r="C23" s="9" t="s">
        <v>846</v>
      </c>
      <c r="D23" s="912">
        <v>16666667</v>
      </c>
      <c r="E23" s="913">
        <v>16666667</v>
      </c>
      <c r="F23" s="54"/>
      <c r="G23" s="101"/>
      <c r="H23" s="101"/>
      <c r="I23" s="101"/>
      <c r="J23" s="58"/>
    </row>
    <row r="24" spans="2:10" s="9" customFormat="1" ht="17.100000000000001" customHeight="1">
      <c r="B24" s="1887"/>
      <c r="C24" s="9" t="s">
        <v>847</v>
      </c>
      <c r="D24" s="912">
        <v>2249999</v>
      </c>
      <c r="E24" s="913">
        <v>2250002</v>
      </c>
      <c r="F24" s="54"/>
      <c r="G24" s="101"/>
      <c r="H24" s="101"/>
      <c r="I24" s="101"/>
      <c r="J24" s="58"/>
    </row>
    <row r="25" spans="2:10" s="9" customFormat="1" ht="17.100000000000001" customHeight="1">
      <c r="B25" s="1887"/>
      <c r="C25" s="9" t="s">
        <v>848</v>
      </c>
      <c r="D25" s="912">
        <v>2916666</v>
      </c>
      <c r="E25" s="913">
        <v>2916668</v>
      </c>
      <c r="F25" s="54"/>
      <c r="G25" s="101"/>
      <c r="H25" s="101"/>
      <c r="I25" s="101"/>
      <c r="J25" s="58"/>
    </row>
    <row r="26" spans="2:10" s="9" customFormat="1" ht="17.100000000000001" customHeight="1">
      <c r="B26" s="1887"/>
      <c r="C26" s="9" t="s">
        <v>849</v>
      </c>
      <c r="D26" s="912">
        <v>16602574</v>
      </c>
      <c r="E26" s="913">
        <v>16607870</v>
      </c>
      <c r="F26" s="54"/>
      <c r="G26" s="904"/>
      <c r="H26" s="101"/>
      <c r="I26" s="101"/>
      <c r="J26" s="58"/>
    </row>
    <row r="27" spans="2:10" s="59" customFormat="1" ht="16.5" customHeight="1">
      <c r="B27" s="1888"/>
      <c r="C27" s="59" t="s">
        <v>850</v>
      </c>
      <c r="D27" s="917">
        <v>69758495</v>
      </c>
      <c r="E27" s="118">
        <v>65311000</v>
      </c>
      <c r="F27" s="905"/>
      <c r="G27" s="101"/>
      <c r="H27" s="101"/>
      <c r="I27" s="101"/>
      <c r="J27" s="58"/>
    </row>
    <row r="28" spans="2:10" s="9" customFormat="1" ht="16.5" customHeight="1">
      <c r="B28" s="1887"/>
      <c r="C28" s="9" t="s">
        <v>851</v>
      </c>
      <c r="D28" s="912">
        <v>4143483</v>
      </c>
      <c r="E28" s="913">
        <v>3998415</v>
      </c>
      <c r="F28" s="54"/>
      <c r="G28" s="101"/>
      <c r="H28" s="101"/>
      <c r="I28" s="101"/>
      <c r="J28" s="58"/>
    </row>
    <row r="29" spans="2:10" s="9" customFormat="1" ht="17.100000000000001" customHeight="1">
      <c r="B29" s="1887"/>
      <c r="C29" s="1889" t="s">
        <v>852</v>
      </c>
      <c r="D29" s="912">
        <v>0</v>
      </c>
      <c r="E29" s="913">
        <v>264340</v>
      </c>
      <c r="F29" s="54"/>
      <c r="G29" s="101"/>
      <c r="H29" s="101"/>
      <c r="I29" s="101"/>
      <c r="J29" s="58"/>
    </row>
    <row r="30" spans="2:10" s="58" customFormat="1" ht="17.100000000000001" customHeight="1">
      <c r="B30" s="2769" t="s">
        <v>221</v>
      </c>
      <c r="C30" s="2770"/>
      <c r="D30" s="910">
        <v>1179433714</v>
      </c>
      <c r="E30" s="911">
        <v>976642578</v>
      </c>
      <c r="F30" s="54"/>
      <c r="G30" s="101"/>
      <c r="H30" s="101"/>
      <c r="I30" s="101"/>
    </row>
    <row r="31" spans="2:10" s="58" customFormat="1" ht="17.100000000000001" customHeight="1">
      <c r="B31" s="2769" t="s">
        <v>222</v>
      </c>
      <c r="C31" s="2770"/>
      <c r="D31" s="910">
        <v>42443338</v>
      </c>
      <c r="E31" s="911">
        <v>42936615</v>
      </c>
      <c r="F31" s="54"/>
      <c r="G31" s="101"/>
      <c r="H31" s="101"/>
      <c r="I31" s="101"/>
    </row>
    <row r="32" spans="2:10" s="9" customFormat="1" ht="17.100000000000001" customHeight="1">
      <c r="B32" s="1887"/>
      <c r="C32" s="9" t="s">
        <v>853</v>
      </c>
      <c r="D32" s="912">
        <v>42440954</v>
      </c>
      <c r="E32" s="913">
        <v>42934135</v>
      </c>
      <c r="F32" s="54"/>
      <c r="G32" s="101"/>
      <c r="H32" s="101"/>
      <c r="I32" s="101"/>
      <c r="J32" s="58"/>
    </row>
    <row r="33" spans="2:10" s="9" customFormat="1" ht="17.100000000000001" customHeight="1">
      <c r="B33" s="438"/>
      <c r="C33" s="1889" t="s">
        <v>854</v>
      </c>
      <c r="D33" s="912">
        <v>2384</v>
      </c>
      <c r="E33" s="913">
        <v>2480</v>
      </c>
      <c r="F33" s="54"/>
      <c r="G33" s="101"/>
      <c r="H33" s="101"/>
      <c r="I33" s="101"/>
      <c r="J33" s="58"/>
    </row>
    <row r="34" spans="2:10" s="58" customFormat="1" ht="17.100000000000001" customHeight="1">
      <c r="B34" s="2769" t="s">
        <v>223</v>
      </c>
      <c r="C34" s="2770"/>
      <c r="D34" s="910">
        <v>648289614</v>
      </c>
      <c r="E34" s="911">
        <v>627377046</v>
      </c>
      <c r="F34" s="54"/>
      <c r="G34" s="101"/>
      <c r="H34" s="101"/>
      <c r="I34" s="101"/>
    </row>
    <row r="35" spans="2:10" s="9" customFormat="1" ht="17.100000000000001" customHeight="1">
      <c r="B35" s="1887"/>
      <c r="C35" s="9" t="s">
        <v>224</v>
      </c>
      <c r="D35" s="912">
        <v>648289614</v>
      </c>
      <c r="E35" s="913">
        <v>627377046</v>
      </c>
      <c r="F35" s="54"/>
      <c r="G35" s="904"/>
      <c r="H35" s="101"/>
      <c r="I35" s="101"/>
      <c r="J35" s="58"/>
    </row>
    <row r="36" spans="2:10" s="59" customFormat="1" ht="17.100000000000001" customHeight="1">
      <c r="B36" s="439"/>
      <c r="C36" s="1890" t="s">
        <v>855</v>
      </c>
      <c r="D36" s="918">
        <v>0</v>
      </c>
      <c r="E36" s="906">
        <v>0</v>
      </c>
      <c r="F36" s="905"/>
      <c r="G36" s="101"/>
      <c r="H36" s="101"/>
      <c r="I36" s="101"/>
      <c r="J36" s="58"/>
    </row>
    <row r="37" spans="2:10" s="58" customFormat="1" ht="17.100000000000001" customHeight="1">
      <c r="B37" s="2769" t="s">
        <v>225</v>
      </c>
      <c r="C37" s="2770"/>
      <c r="D37" s="910">
        <v>573587438</v>
      </c>
      <c r="E37" s="911">
        <v>392202147</v>
      </c>
      <c r="F37" s="54"/>
      <c r="G37" s="101"/>
      <c r="H37" s="101"/>
      <c r="I37" s="101"/>
    </row>
    <row r="38" spans="2:10" s="55" customFormat="1" ht="17.100000000000001" customHeight="1">
      <c r="B38" s="60"/>
      <c r="D38" s="61"/>
      <c r="E38" s="61"/>
      <c r="F38" s="1"/>
      <c r="G38" s="100"/>
      <c r="H38" s="1"/>
      <c r="I38" s="61"/>
    </row>
    <row r="39" spans="2:10" ht="17.100000000000001" customHeight="1">
      <c r="D39" s="61"/>
      <c r="E39" s="61"/>
      <c r="F39" s="54"/>
    </row>
    <row r="40" spans="2:10" ht="17.100000000000001" customHeight="1">
      <c r="G40" s="53"/>
      <c r="H40" s="53"/>
    </row>
    <row r="41" spans="2:10" ht="17.100000000000001" customHeight="1">
      <c r="C41" s="61"/>
      <c r="D41" s="10"/>
      <c r="E41" s="10"/>
      <c r="F41" s="53"/>
      <c r="G41" s="53"/>
      <c r="H41" s="53"/>
    </row>
    <row r="42" spans="2:10" ht="17.100000000000001" customHeight="1">
      <c r="C42" s="61"/>
      <c r="D42" s="10"/>
      <c r="E42" s="10"/>
      <c r="F42" s="53"/>
      <c r="G42" s="53"/>
      <c r="H42" s="53"/>
    </row>
    <row r="43" spans="2:10" ht="17.100000000000001" customHeight="1">
      <c r="C43" s="61"/>
      <c r="D43" s="10"/>
      <c r="E43" s="10"/>
      <c r="F43" s="53"/>
      <c r="G43" s="53"/>
      <c r="H43" s="53"/>
    </row>
    <row r="44" spans="2:10" ht="17.100000000000001" customHeight="1">
      <c r="C44" s="61"/>
      <c r="D44" s="10"/>
      <c r="E44" s="10"/>
      <c r="F44" s="53"/>
      <c r="G44" s="53"/>
      <c r="H44" s="53"/>
    </row>
    <row r="45" spans="2:10" ht="17.100000000000001" customHeight="1">
      <c r="C45" s="61"/>
      <c r="D45" s="10"/>
      <c r="E45" s="10"/>
      <c r="F45" s="53"/>
      <c r="G45" s="53"/>
      <c r="H45" s="53"/>
    </row>
    <row r="46" spans="2:10" ht="17.100000000000001" customHeight="1">
      <c r="C46" s="61"/>
      <c r="D46" s="10"/>
      <c r="E46" s="10"/>
      <c r="F46" s="53"/>
      <c r="G46" s="53"/>
      <c r="H46" s="53"/>
    </row>
    <row r="47" spans="2:10" ht="17.100000000000001" customHeight="1">
      <c r="C47" s="61"/>
      <c r="D47" s="10"/>
      <c r="E47" s="10"/>
      <c r="F47" s="53"/>
      <c r="G47" s="53"/>
      <c r="H47" s="53"/>
    </row>
    <row r="48" spans="2:10" ht="17.100000000000001" customHeight="1">
      <c r="C48" s="61"/>
      <c r="D48" s="10"/>
      <c r="E48" s="10"/>
      <c r="F48" s="53"/>
      <c r="G48" s="53"/>
      <c r="H48" s="53"/>
    </row>
    <row r="49" spans="3:8" ht="17.100000000000001" customHeight="1">
      <c r="C49" s="61"/>
      <c r="D49" s="10"/>
      <c r="E49" s="10"/>
      <c r="F49" s="53"/>
      <c r="G49" s="53"/>
      <c r="H49" s="53"/>
    </row>
    <row r="50" spans="3:8" ht="17.100000000000001" customHeight="1">
      <c r="C50" s="61"/>
      <c r="D50" s="10"/>
      <c r="E50" s="10"/>
      <c r="F50" s="53"/>
      <c r="G50" s="53"/>
      <c r="H50" s="53"/>
    </row>
    <row r="51" spans="3:8" ht="17.100000000000001" customHeight="1">
      <c r="C51" s="61"/>
      <c r="D51" s="10"/>
      <c r="E51" s="10"/>
      <c r="F51" s="53"/>
      <c r="G51" s="53"/>
      <c r="H51" s="53"/>
    </row>
    <row r="52" spans="3:8" ht="17.100000000000001" customHeight="1">
      <c r="C52" s="61"/>
      <c r="D52" s="10"/>
      <c r="E52" s="10"/>
      <c r="F52" s="53"/>
      <c r="G52" s="53"/>
      <c r="H52" s="53"/>
    </row>
    <row r="53" spans="3:8" ht="17.100000000000001" customHeight="1">
      <c r="C53" s="61"/>
      <c r="D53" s="10"/>
      <c r="E53" s="10"/>
      <c r="F53" s="53"/>
      <c r="G53" s="53"/>
      <c r="H53" s="53"/>
    </row>
    <row r="54" spans="3:8" ht="17.100000000000001" customHeight="1">
      <c r="C54" s="61"/>
      <c r="D54" s="10"/>
      <c r="E54" s="10"/>
      <c r="F54" s="53"/>
      <c r="G54" s="53"/>
      <c r="H54" s="53"/>
    </row>
    <row r="55" spans="3:8" ht="17.100000000000001" customHeight="1">
      <c r="C55" s="61"/>
      <c r="D55" s="10"/>
      <c r="E55" s="10"/>
      <c r="F55" s="53"/>
      <c r="G55" s="53"/>
      <c r="H55" s="53"/>
    </row>
    <row r="56" spans="3:8" ht="17.100000000000001" customHeight="1">
      <c r="C56" s="61"/>
      <c r="D56" s="10"/>
      <c r="E56" s="10"/>
      <c r="F56" s="53"/>
      <c r="G56" s="53"/>
      <c r="H56" s="53"/>
    </row>
    <row r="57" spans="3:8" ht="17.100000000000001" customHeight="1">
      <c r="C57" s="61"/>
      <c r="D57" s="10"/>
      <c r="E57" s="10"/>
      <c r="F57" s="53"/>
      <c r="G57" s="53"/>
      <c r="H57" s="53"/>
    </row>
    <row r="58" spans="3:8" ht="17.100000000000001" customHeight="1">
      <c r="C58" s="61"/>
      <c r="D58" s="10"/>
      <c r="E58" s="10"/>
      <c r="F58" s="53"/>
      <c r="G58" s="53"/>
      <c r="H58" s="53"/>
    </row>
    <row r="59" spans="3:8" ht="17.100000000000001" customHeight="1">
      <c r="C59" s="61"/>
      <c r="D59" s="10"/>
      <c r="E59" s="10"/>
      <c r="F59" s="53"/>
      <c r="G59" s="53"/>
      <c r="H59" s="53"/>
    </row>
    <row r="60" spans="3:8" ht="17.100000000000001" customHeight="1">
      <c r="C60" s="61"/>
      <c r="D60" s="10"/>
      <c r="E60" s="10"/>
      <c r="F60" s="53"/>
      <c r="G60" s="53"/>
      <c r="H60" s="53"/>
    </row>
    <row r="61" spans="3:8" ht="17.100000000000001" customHeight="1">
      <c r="C61" s="61"/>
      <c r="D61" s="10"/>
      <c r="E61" s="10"/>
      <c r="F61" s="53"/>
      <c r="G61" s="53"/>
      <c r="H61" s="53"/>
    </row>
    <row r="62" spans="3:8" ht="17.100000000000001" customHeight="1">
      <c r="C62" s="61"/>
      <c r="D62" s="10"/>
      <c r="E62" s="10"/>
      <c r="F62" s="53"/>
      <c r="G62" s="53"/>
      <c r="H62" s="53"/>
    </row>
    <row r="63" spans="3:8" ht="17.100000000000001" customHeight="1">
      <c r="C63" s="61"/>
      <c r="D63" s="10"/>
      <c r="E63" s="10"/>
      <c r="F63" s="53"/>
      <c r="G63" s="53"/>
      <c r="H63" s="53"/>
    </row>
    <row r="64" spans="3:8" ht="17.100000000000001" customHeight="1">
      <c r="C64" s="61"/>
      <c r="D64" s="10"/>
      <c r="E64" s="10"/>
      <c r="F64" s="53"/>
      <c r="G64" s="53"/>
      <c r="H64" s="53"/>
    </row>
    <row r="65" spans="3:8" ht="17.100000000000001" customHeight="1">
      <c r="C65" s="61"/>
      <c r="D65" s="10"/>
      <c r="E65" s="10"/>
      <c r="F65" s="53"/>
      <c r="G65" s="53"/>
      <c r="H65" s="53"/>
    </row>
    <row r="66" spans="3:8" ht="17.100000000000001" customHeight="1">
      <c r="C66" s="61"/>
      <c r="D66" s="10"/>
      <c r="E66" s="10"/>
      <c r="F66" s="53"/>
      <c r="G66" s="53"/>
      <c r="H66" s="53"/>
    </row>
    <row r="67" spans="3:8" ht="17.100000000000001" customHeight="1">
      <c r="C67" s="61"/>
      <c r="D67" s="10"/>
      <c r="E67" s="10"/>
      <c r="F67" s="53"/>
      <c r="G67" s="53"/>
      <c r="H67" s="53"/>
    </row>
    <row r="68" spans="3:8" ht="17.100000000000001" customHeight="1">
      <c r="C68" s="61"/>
      <c r="D68" s="10"/>
      <c r="E68" s="10"/>
      <c r="F68" s="53"/>
      <c r="G68" s="53"/>
      <c r="H68" s="53"/>
    </row>
    <row r="69" spans="3:8" ht="17.100000000000001" customHeight="1">
      <c r="C69" s="61"/>
      <c r="D69" s="10"/>
      <c r="E69" s="10"/>
      <c r="F69" s="53"/>
      <c r="G69" s="53"/>
      <c r="H69" s="53"/>
    </row>
    <row r="70" spans="3:8" ht="17.100000000000001" customHeight="1">
      <c r="C70" s="61"/>
      <c r="D70" s="10"/>
      <c r="E70" s="10"/>
      <c r="F70" s="53"/>
      <c r="G70" s="53"/>
      <c r="H70" s="53"/>
    </row>
    <row r="71" spans="3:8" ht="17.100000000000001" customHeight="1">
      <c r="C71" s="61"/>
      <c r="D71" s="10"/>
      <c r="E71" s="10"/>
      <c r="F71" s="53"/>
      <c r="G71" s="53"/>
      <c r="H71" s="53"/>
    </row>
    <row r="72" spans="3:8" ht="17.100000000000001" customHeight="1">
      <c r="C72" s="61"/>
      <c r="D72" s="10"/>
      <c r="E72" s="10"/>
      <c r="F72" s="53"/>
    </row>
  </sheetData>
  <mergeCells count="10">
    <mergeCell ref="B13:C13"/>
    <mergeCell ref="B3:E3"/>
    <mergeCell ref="B7:C7"/>
    <mergeCell ref="B12:C12"/>
    <mergeCell ref="B4:E4"/>
    <mergeCell ref="B19:C19"/>
    <mergeCell ref="B30:C30"/>
    <mergeCell ref="B31:C31"/>
    <mergeCell ref="B34:C34"/>
    <mergeCell ref="B37:C37"/>
  </mergeCells>
  <phoneticPr fontId="6" type="noConversion"/>
  <pageMargins left="0.70866141732283472" right="0.70866141732283472" top="0.74803149606299213" bottom="0.74803149606299213" header="0.31496062992125984" footer="0.31496062992125984"/>
  <pageSetup paperSize="9" scale="98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CCCFF"/>
    <pageSetUpPr fitToPage="1"/>
  </sheetPr>
  <dimension ref="A2:DC73"/>
  <sheetViews>
    <sheetView showGridLines="0" view="pageBreakPreview" zoomScale="85" zoomScaleNormal="10" zoomScaleSheetLayoutView="85" workbookViewId="0">
      <selection activeCell="B2" sqref="B2"/>
    </sheetView>
  </sheetViews>
  <sheetFormatPr defaultColWidth="8.75" defaultRowHeight="17.100000000000001" customHeight="1"/>
  <cols>
    <col min="1" max="1" width="3.25" style="958" customWidth="1"/>
    <col min="2" max="2" width="4.125" style="1399" customWidth="1"/>
    <col min="3" max="3" width="19.875" style="958" customWidth="1"/>
    <col min="4" max="50" width="21.25" style="958" customWidth="1"/>
    <col min="51" max="56" width="21.25" style="1353" customWidth="1"/>
    <col min="57" max="84" width="21.25" style="958" customWidth="1"/>
    <col min="85" max="102" width="21.25" style="958" hidden="1" customWidth="1"/>
    <col min="103" max="103" width="11.125" style="958" customWidth="1"/>
    <col min="104" max="104" width="17.25" style="1350" bestFit="1" customWidth="1"/>
    <col min="105" max="105" width="17.25" style="958" bestFit="1" customWidth="1"/>
    <col min="106" max="106" width="15.375" style="1022" bestFit="1" customWidth="1"/>
    <col min="107" max="16384" width="8.75" style="958"/>
  </cols>
  <sheetData>
    <row r="2" spans="1:107" ht="30.6" customHeight="1">
      <c r="A2" s="1003"/>
      <c r="B2" s="2118" t="s">
        <v>2049</v>
      </c>
      <c r="C2" s="1348"/>
      <c r="D2" s="1348"/>
      <c r="E2" s="1348"/>
      <c r="F2" s="1348"/>
      <c r="G2" s="1348"/>
      <c r="H2" s="1349"/>
      <c r="I2" s="1349"/>
      <c r="J2" s="1349"/>
      <c r="K2" s="1349"/>
      <c r="L2" s="1349"/>
      <c r="M2" s="1349"/>
      <c r="N2" s="1349"/>
      <c r="O2" s="1349"/>
      <c r="P2" s="1349"/>
      <c r="Q2" s="1349"/>
      <c r="R2" s="1349"/>
      <c r="S2" s="1349"/>
      <c r="T2" s="1349"/>
      <c r="U2" s="1349"/>
      <c r="V2" s="1349"/>
      <c r="W2" s="1349"/>
      <c r="X2" s="1349"/>
      <c r="Y2" s="1349"/>
      <c r="Z2" s="1349"/>
      <c r="AA2" s="1349"/>
      <c r="AB2" s="1349"/>
      <c r="AC2" s="1349"/>
      <c r="AD2" s="1349"/>
      <c r="AE2" s="1349"/>
      <c r="AF2" s="1349"/>
      <c r="AG2" s="1349"/>
      <c r="AH2" s="1349"/>
      <c r="AI2" s="1349"/>
      <c r="AJ2" s="1349"/>
      <c r="AK2" s="1349"/>
      <c r="AL2" s="1349"/>
      <c r="AM2" s="1349"/>
      <c r="AN2" s="1349"/>
      <c r="AO2" s="1349"/>
      <c r="AP2" s="1349"/>
      <c r="AQ2" s="1349"/>
      <c r="AR2" s="1349"/>
      <c r="AS2" s="1349"/>
      <c r="AT2" s="1349"/>
      <c r="AU2" s="1349"/>
      <c r="AV2" s="1349"/>
      <c r="AW2" s="1349"/>
      <c r="AX2" s="1349"/>
      <c r="AY2" s="1349"/>
      <c r="AZ2" s="1349"/>
      <c r="BA2" s="1349"/>
      <c r="BB2" s="1349"/>
      <c r="BC2" s="1349"/>
      <c r="BD2" s="1349"/>
      <c r="BE2" s="1349"/>
      <c r="BF2" s="1349"/>
      <c r="BG2" s="1349"/>
      <c r="BH2" s="1349"/>
      <c r="BI2" s="1349"/>
      <c r="BJ2" s="1349"/>
      <c r="BK2" s="1349"/>
      <c r="BL2" s="1349"/>
      <c r="BM2" s="1349"/>
      <c r="BN2" s="1349"/>
      <c r="BO2" s="1349"/>
      <c r="BP2" s="1349"/>
      <c r="BQ2" s="1349"/>
      <c r="BR2" s="1349"/>
      <c r="BS2" s="1349"/>
      <c r="BT2" s="1349"/>
      <c r="BU2" s="1349"/>
      <c r="BV2" s="1349"/>
      <c r="BW2" s="1349"/>
      <c r="BX2" s="1349"/>
      <c r="BY2" s="1349"/>
      <c r="BZ2" s="1349"/>
      <c r="CA2" s="1349"/>
      <c r="CB2" s="1349"/>
      <c r="CC2" s="1349"/>
      <c r="CD2" s="1349"/>
      <c r="CE2" s="1349"/>
      <c r="CF2" s="1349"/>
      <c r="CG2" s="1349"/>
      <c r="CH2" s="1349"/>
      <c r="CI2" s="1349"/>
      <c r="CJ2" s="1349"/>
      <c r="CK2" s="1349"/>
      <c r="CL2" s="1349"/>
      <c r="CM2" s="1349"/>
      <c r="CN2" s="1349"/>
      <c r="CO2" s="1349"/>
      <c r="CP2" s="1349"/>
      <c r="CQ2" s="1349"/>
      <c r="CR2" s="1349"/>
      <c r="CS2" s="1349"/>
      <c r="CT2" s="1349"/>
      <c r="CU2" s="1349"/>
      <c r="CV2" s="1349"/>
      <c r="CW2" s="1349"/>
      <c r="CX2" s="1349"/>
    </row>
    <row r="3" spans="1:107" ht="17.100000000000001" customHeight="1">
      <c r="B3" s="1351"/>
      <c r="C3" s="1351"/>
      <c r="D3" s="1351"/>
      <c r="E3" s="1351"/>
      <c r="F3" s="1351"/>
      <c r="G3" s="1349"/>
      <c r="H3" s="1349"/>
      <c r="I3" s="1349"/>
      <c r="J3" s="1349"/>
      <c r="K3" s="1349"/>
      <c r="L3" s="1349"/>
      <c r="M3" s="1349"/>
      <c r="N3" s="1349"/>
      <c r="O3" s="1349"/>
      <c r="P3" s="1349"/>
      <c r="Q3" s="1349"/>
      <c r="R3" s="1349"/>
      <c r="S3" s="1349"/>
      <c r="T3" s="1349"/>
      <c r="U3" s="1349"/>
      <c r="V3" s="1349"/>
      <c r="W3" s="1349"/>
      <c r="X3" s="1349"/>
      <c r="Y3" s="1349"/>
      <c r="Z3" s="1349"/>
      <c r="AA3" s="1349"/>
      <c r="AB3" s="1349"/>
      <c r="AC3" s="1349"/>
      <c r="AD3" s="1349"/>
      <c r="AE3" s="1349"/>
      <c r="AF3" s="1349"/>
      <c r="AG3" s="1349"/>
      <c r="AH3" s="1349"/>
      <c r="AI3" s="1349"/>
      <c r="AJ3" s="1349"/>
      <c r="AK3" s="1349"/>
      <c r="AL3" s="1349"/>
      <c r="AM3" s="1349"/>
      <c r="AN3" s="1349"/>
      <c r="AO3" s="1349"/>
      <c r="AP3" s="1349"/>
      <c r="AQ3" s="1349"/>
      <c r="AR3" s="1349"/>
      <c r="AS3" s="1349"/>
      <c r="AT3" s="1349"/>
      <c r="AU3" s="1349"/>
      <c r="AV3" s="1349"/>
      <c r="AW3" s="1349"/>
      <c r="AX3" s="1349"/>
      <c r="AY3" s="1349"/>
      <c r="AZ3" s="1349"/>
      <c r="BA3" s="1349"/>
      <c r="BB3" s="1349"/>
      <c r="BC3" s="1349"/>
      <c r="BD3" s="1349"/>
      <c r="BE3" s="1349"/>
      <c r="BF3" s="1349"/>
      <c r="BG3" s="1349"/>
      <c r="BH3" s="1349"/>
      <c r="BI3" s="1349"/>
      <c r="BJ3" s="1349"/>
      <c r="BK3" s="1349"/>
      <c r="BL3" s="1349"/>
      <c r="BM3" s="1349"/>
      <c r="BN3" s="1349"/>
      <c r="BO3" s="1349"/>
      <c r="BP3" s="1349"/>
      <c r="BQ3" s="1349"/>
      <c r="BR3" s="1349"/>
      <c r="BS3" s="1349"/>
      <c r="BT3" s="1349"/>
      <c r="BU3" s="1349"/>
      <c r="BV3" s="1349"/>
      <c r="BW3" s="1349"/>
      <c r="BX3" s="1349"/>
      <c r="BY3" s="1349"/>
      <c r="BZ3" s="1349"/>
      <c r="CA3" s="1349"/>
      <c r="CB3" s="1349"/>
      <c r="CC3" s="1349"/>
      <c r="CD3" s="1349"/>
      <c r="CE3" s="1349"/>
      <c r="CF3" s="1349"/>
      <c r="CG3" s="1349"/>
      <c r="CH3" s="1349"/>
      <c r="CI3" s="1349"/>
      <c r="CJ3" s="1349"/>
      <c r="CK3" s="1349"/>
      <c r="CL3" s="1349"/>
      <c r="CM3" s="1349"/>
      <c r="CN3" s="1349"/>
      <c r="CO3" s="1349"/>
      <c r="CP3" s="1349"/>
      <c r="CQ3" s="1349"/>
      <c r="CR3" s="1349"/>
      <c r="CS3" s="1349"/>
      <c r="CT3" s="1349"/>
      <c r="CU3" s="1349"/>
      <c r="CV3" s="1349"/>
      <c r="CW3" s="1349"/>
      <c r="CX3" s="1349"/>
    </row>
    <row r="4" spans="1:107" ht="16.5" customHeight="1">
      <c r="B4" s="2774" t="s">
        <v>2132</v>
      </c>
      <c r="C4" s="2774"/>
      <c r="D4" s="2774"/>
      <c r="E4" s="2774"/>
      <c r="F4" s="2774"/>
      <c r="G4" s="974"/>
      <c r="H4" s="974"/>
      <c r="I4" s="974"/>
      <c r="J4" s="974"/>
      <c r="K4" s="974"/>
      <c r="L4" s="974"/>
      <c r="M4" s="974"/>
      <c r="N4" s="974"/>
      <c r="O4" s="974"/>
      <c r="P4" s="974"/>
      <c r="Q4" s="974"/>
      <c r="R4" s="974"/>
      <c r="S4" s="974"/>
      <c r="T4" s="974"/>
      <c r="U4" s="974"/>
      <c r="V4" s="974"/>
      <c r="W4" s="974"/>
      <c r="X4" s="974"/>
      <c r="Y4" s="974"/>
      <c r="Z4" s="974"/>
      <c r="AA4" s="974"/>
      <c r="AB4" s="974"/>
      <c r="AC4" s="974"/>
      <c r="AD4" s="974"/>
      <c r="AE4" s="974"/>
      <c r="AF4" s="974"/>
      <c r="AG4" s="974"/>
      <c r="AH4" s="974"/>
      <c r="AI4" s="974"/>
      <c r="AJ4" s="974"/>
      <c r="AK4" s="974"/>
      <c r="AL4" s="974"/>
      <c r="AM4" s="974"/>
      <c r="AN4" s="974"/>
      <c r="AO4" s="974"/>
      <c r="AP4" s="974"/>
      <c r="AQ4" s="974"/>
      <c r="AR4" s="974"/>
      <c r="AS4" s="974"/>
      <c r="AT4" s="974"/>
      <c r="AU4" s="974"/>
      <c r="AV4" s="974"/>
      <c r="AW4" s="974"/>
      <c r="AX4" s="974"/>
      <c r="AY4" s="974"/>
      <c r="AZ4" s="974"/>
      <c r="BA4" s="974"/>
      <c r="BB4" s="974"/>
      <c r="BC4" s="974"/>
      <c r="BD4" s="974"/>
      <c r="BE4" s="974"/>
      <c r="BF4" s="974"/>
      <c r="BG4" s="974"/>
      <c r="BH4" s="974"/>
      <c r="BI4" s="974"/>
      <c r="BJ4" s="974"/>
      <c r="BK4" s="974"/>
      <c r="BL4" s="974"/>
      <c r="BM4" s="974"/>
      <c r="BN4" s="974"/>
      <c r="BO4" s="974"/>
      <c r="BP4" s="974"/>
      <c r="BQ4" s="974"/>
      <c r="BR4" s="974"/>
      <c r="BS4" s="974"/>
      <c r="BT4" s="974"/>
      <c r="BU4" s="974"/>
      <c r="BV4" s="974"/>
      <c r="BW4" s="974"/>
      <c r="BX4" s="974"/>
      <c r="BY4" s="974"/>
      <c r="BZ4" s="974"/>
      <c r="CA4" s="974"/>
      <c r="CB4" s="974"/>
      <c r="CC4" s="974"/>
      <c r="CD4" s="974"/>
      <c r="CE4" s="974"/>
      <c r="CF4" s="974"/>
      <c r="CG4" s="974"/>
      <c r="CH4" s="974"/>
      <c r="CI4" s="974"/>
      <c r="CJ4" s="974"/>
      <c r="CK4" s="974"/>
      <c r="CL4" s="974"/>
      <c r="CM4" s="974"/>
      <c r="CN4" s="974"/>
      <c r="CO4" s="974"/>
      <c r="CP4" s="974"/>
      <c r="CQ4" s="974"/>
      <c r="CR4" s="974"/>
      <c r="CS4" s="974"/>
      <c r="CT4" s="974"/>
      <c r="CU4" s="974"/>
      <c r="CV4" s="974"/>
      <c r="CW4" s="974"/>
      <c r="CX4" s="974"/>
    </row>
    <row r="5" spans="1:107" ht="17.100000000000001" customHeight="1" thickBot="1">
      <c r="B5" s="1352" t="s">
        <v>702</v>
      </c>
    </row>
    <row r="6" spans="1:107" s="974" customFormat="1" ht="17.100000000000001" customHeight="1">
      <c r="B6" s="56"/>
      <c r="C6" s="57" t="s">
        <v>206</v>
      </c>
      <c r="D6" s="1891" t="s">
        <v>769</v>
      </c>
      <c r="E6" s="909" t="s">
        <v>2131</v>
      </c>
      <c r="F6" s="909" t="s">
        <v>1999</v>
      </c>
      <c r="G6" s="909" t="s">
        <v>1687</v>
      </c>
      <c r="H6" s="909" t="s">
        <v>770</v>
      </c>
      <c r="I6" s="1891" t="s">
        <v>771</v>
      </c>
      <c r="J6" s="909" t="s">
        <v>772</v>
      </c>
      <c r="K6" s="909" t="s">
        <v>773</v>
      </c>
      <c r="L6" s="909" t="s">
        <v>774</v>
      </c>
      <c r="M6" s="909" t="s">
        <v>775</v>
      </c>
      <c r="N6" s="909" t="s">
        <v>776</v>
      </c>
      <c r="O6" s="909" t="s">
        <v>777</v>
      </c>
      <c r="P6" s="1891" t="s">
        <v>778</v>
      </c>
      <c r="Q6" s="909" t="s">
        <v>779</v>
      </c>
      <c r="R6" s="909" t="s">
        <v>780</v>
      </c>
      <c r="S6" s="909" t="s">
        <v>781</v>
      </c>
      <c r="T6" s="909" t="s">
        <v>782</v>
      </c>
      <c r="U6" s="909" t="s">
        <v>783</v>
      </c>
      <c r="V6" s="909" t="s">
        <v>784</v>
      </c>
      <c r="W6" s="1891" t="s">
        <v>785</v>
      </c>
      <c r="X6" s="909" t="s">
        <v>786</v>
      </c>
      <c r="Y6" s="909" t="s">
        <v>787</v>
      </c>
      <c r="Z6" s="909" t="s">
        <v>788</v>
      </c>
      <c r="AA6" s="909">
        <v>2022.12</v>
      </c>
      <c r="AB6" s="1892" t="s">
        <v>789</v>
      </c>
      <c r="AC6" s="1892" t="s">
        <v>790</v>
      </c>
      <c r="AD6" s="1891" t="s">
        <v>791</v>
      </c>
      <c r="AE6" s="1892" t="s">
        <v>792</v>
      </c>
      <c r="AF6" s="1892" t="s">
        <v>793</v>
      </c>
      <c r="AG6" s="1892" t="s">
        <v>794</v>
      </c>
      <c r="AH6" s="1892" t="s">
        <v>795</v>
      </c>
      <c r="AI6" s="1892" t="s">
        <v>796</v>
      </c>
      <c r="AJ6" s="1892" t="s">
        <v>797</v>
      </c>
      <c r="AK6" s="1891" t="s">
        <v>798</v>
      </c>
      <c r="AL6" s="1892" t="s">
        <v>799</v>
      </c>
      <c r="AM6" s="1892" t="s">
        <v>800</v>
      </c>
      <c r="AN6" s="1892" t="s">
        <v>801</v>
      </c>
      <c r="AO6" s="1892" t="s">
        <v>802</v>
      </c>
      <c r="AP6" s="1892" t="s">
        <v>803</v>
      </c>
      <c r="AQ6" s="1892" t="s">
        <v>804</v>
      </c>
      <c r="AR6" s="1891" t="s">
        <v>207</v>
      </c>
      <c r="AS6" s="1892" t="s">
        <v>208</v>
      </c>
      <c r="AT6" s="1892" t="s">
        <v>805</v>
      </c>
      <c r="AU6" s="1892" t="s">
        <v>806</v>
      </c>
      <c r="AV6" s="1892" t="s">
        <v>807</v>
      </c>
      <c r="AW6" s="1892" t="s">
        <v>808</v>
      </c>
      <c r="AX6" s="1892" t="s">
        <v>209</v>
      </c>
      <c r="AY6" s="1891" t="s">
        <v>809</v>
      </c>
      <c r="AZ6" s="1892" t="s">
        <v>810</v>
      </c>
      <c r="BA6" s="1892" t="s">
        <v>811</v>
      </c>
      <c r="BB6" s="1892" t="s">
        <v>812</v>
      </c>
      <c r="BC6" s="1892" t="s">
        <v>813</v>
      </c>
      <c r="BD6" s="1892" t="s">
        <v>814</v>
      </c>
      <c r="BE6" s="1892" t="s">
        <v>815</v>
      </c>
      <c r="BF6" s="1891" t="s">
        <v>210</v>
      </c>
      <c r="BG6" s="909" t="s">
        <v>816</v>
      </c>
      <c r="BH6" s="909" t="s">
        <v>817</v>
      </c>
      <c r="BI6" s="909" t="s">
        <v>818</v>
      </c>
      <c r="BJ6" s="909" t="s">
        <v>819</v>
      </c>
      <c r="BK6" s="909" t="s">
        <v>820</v>
      </c>
      <c r="BL6" s="909" t="s">
        <v>821</v>
      </c>
      <c r="BM6" s="1891" t="s">
        <v>211</v>
      </c>
      <c r="BN6" s="909" t="s">
        <v>822</v>
      </c>
      <c r="BO6" s="909" t="s">
        <v>823</v>
      </c>
      <c r="BP6" s="909" t="s">
        <v>824</v>
      </c>
      <c r="BQ6" s="909" t="s">
        <v>212</v>
      </c>
      <c r="BR6" s="909" t="s">
        <v>825</v>
      </c>
      <c r="BS6" s="1893" t="s">
        <v>826</v>
      </c>
      <c r="BT6" s="1891" t="s">
        <v>213</v>
      </c>
      <c r="BU6" s="909">
        <v>2019.09</v>
      </c>
      <c r="BV6" s="908">
        <v>2019.08</v>
      </c>
      <c r="BW6" s="908">
        <v>2019.07</v>
      </c>
      <c r="BX6" s="908">
        <v>2019.06</v>
      </c>
      <c r="BY6" s="908" t="s">
        <v>827</v>
      </c>
      <c r="BZ6" s="908">
        <v>2019.04</v>
      </c>
      <c r="CA6" s="1894" t="s">
        <v>828</v>
      </c>
      <c r="CB6" s="908">
        <v>2019.03</v>
      </c>
      <c r="CC6" s="908">
        <v>2019.02</v>
      </c>
      <c r="CD6" s="908">
        <v>2019.01</v>
      </c>
      <c r="CE6" s="908" t="s">
        <v>214</v>
      </c>
      <c r="CF6" s="908" t="s">
        <v>829</v>
      </c>
      <c r="CG6" s="908" t="s">
        <v>830</v>
      </c>
      <c r="CH6" s="1357">
        <v>2018.09</v>
      </c>
      <c r="CI6" s="1357">
        <v>2018.08</v>
      </c>
      <c r="CJ6" s="1357">
        <v>2018.07</v>
      </c>
      <c r="CK6" s="1357">
        <v>2018.06</v>
      </c>
      <c r="CL6" s="1358" t="s">
        <v>831</v>
      </c>
      <c r="CM6" s="1358" t="s">
        <v>832</v>
      </c>
      <c r="CN6" s="1356" t="s">
        <v>215</v>
      </c>
      <c r="CO6" s="1357">
        <v>2018.03</v>
      </c>
      <c r="CP6" s="1355">
        <v>2018.02</v>
      </c>
      <c r="CQ6" s="1355">
        <v>2018.01</v>
      </c>
      <c r="CR6" s="1357">
        <v>2017.12</v>
      </c>
      <c r="CS6" s="1359">
        <v>2017.11</v>
      </c>
      <c r="CT6" s="1360" t="s">
        <v>833</v>
      </c>
      <c r="CU6" s="1359">
        <v>2017.09</v>
      </c>
      <c r="CV6" s="1359">
        <v>2017.08</v>
      </c>
      <c r="CW6" s="1354" t="s">
        <v>834</v>
      </c>
      <c r="CX6" s="1354" t="s">
        <v>835</v>
      </c>
      <c r="CY6" s="958"/>
      <c r="CZ6" s="1361"/>
      <c r="DA6" s="1361"/>
      <c r="DB6" s="982"/>
    </row>
    <row r="7" spans="1:107" s="1005" customFormat="1" ht="17.100000000000001" customHeight="1">
      <c r="B7" s="2769" t="s">
        <v>216</v>
      </c>
      <c r="C7" s="2770"/>
      <c r="D7" s="1895">
        <f>SUM(D8:D11)</f>
        <v>8400660119</v>
      </c>
      <c r="E7" s="911">
        <f>D7-F7-G7-H7</f>
        <v>2156845734</v>
      </c>
      <c r="F7" s="911">
        <v>2062278609</v>
      </c>
      <c r="G7" s="911">
        <v>1961477312</v>
      </c>
      <c r="H7" s="911">
        <v>2220058464</v>
      </c>
      <c r="I7" s="1895">
        <v>12903565958</v>
      </c>
      <c r="J7" s="911">
        <v>2279049290</v>
      </c>
      <c r="K7" s="911">
        <v>1948808235</v>
      </c>
      <c r="L7" s="911">
        <v>2246169583</v>
      </c>
      <c r="M7" s="911">
        <v>2237574002</v>
      </c>
      <c r="N7" s="911">
        <v>2104822074</v>
      </c>
      <c r="O7" s="911">
        <v>2087142774</v>
      </c>
      <c r="P7" s="1895">
        <v>12304022555</v>
      </c>
      <c r="Q7" s="911">
        <v>2333003025</v>
      </c>
      <c r="R7" s="911">
        <v>2104815759.9999998</v>
      </c>
      <c r="S7" s="911">
        <v>2101413514.9999998</v>
      </c>
      <c r="T7" s="911">
        <v>1790502154.8</v>
      </c>
      <c r="U7" s="911">
        <v>1913979591.9999998</v>
      </c>
      <c r="V7" s="911">
        <v>2060308508.2</v>
      </c>
      <c r="W7" s="1895">
        <v>12502746276.387096</v>
      </c>
      <c r="X7" s="911">
        <v>2031522516</v>
      </c>
      <c r="Y7" s="911">
        <v>2077630634</v>
      </c>
      <c r="Z7" s="911">
        <v>2215141448</v>
      </c>
      <c r="AA7" s="911">
        <v>2139747585.3870964</v>
      </c>
      <c r="AB7" s="911">
        <v>2024612150</v>
      </c>
      <c r="AC7" s="911">
        <v>2014091943</v>
      </c>
      <c r="AD7" s="1895">
        <v>11803652671</v>
      </c>
      <c r="AE7" s="911">
        <v>2233159423</v>
      </c>
      <c r="AF7" s="911">
        <v>2023026654</v>
      </c>
      <c r="AG7" s="911">
        <v>2014358002</v>
      </c>
      <c r="AH7" s="911">
        <v>1711889457</v>
      </c>
      <c r="AI7" s="911">
        <v>1825190470</v>
      </c>
      <c r="AJ7" s="911">
        <v>1996028665</v>
      </c>
      <c r="AK7" s="1895">
        <v>12007100861.926594</v>
      </c>
      <c r="AL7" s="911">
        <v>1981631100.5714262</v>
      </c>
      <c r="AM7" s="911">
        <v>1999614032.9999998</v>
      </c>
      <c r="AN7" s="911">
        <v>2110978605.9999998</v>
      </c>
      <c r="AO7" s="911">
        <v>2042027711.0000007</v>
      </c>
      <c r="AP7" s="911">
        <v>1956877203.0000002</v>
      </c>
      <c r="AQ7" s="911">
        <v>1915972208.3551667</v>
      </c>
      <c r="AR7" s="1895">
        <v>10886274050</v>
      </c>
      <c r="AS7" s="911">
        <v>2058338472</v>
      </c>
      <c r="AT7" s="911">
        <v>1896862076</v>
      </c>
      <c r="AU7" s="911">
        <v>1850848646</v>
      </c>
      <c r="AV7" s="911">
        <v>1548710168</v>
      </c>
      <c r="AW7" s="911">
        <v>1745508384</v>
      </c>
      <c r="AX7" s="911">
        <v>1786006304</v>
      </c>
      <c r="AY7" s="1895">
        <v>11297809775</v>
      </c>
      <c r="AZ7" s="911">
        <v>1738531477</v>
      </c>
      <c r="BA7" s="911">
        <v>1888333523</v>
      </c>
      <c r="BB7" s="911">
        <v>1996424457</v>
      </c>
      <c r="BC7" s="911">
        <v>2055350915</v>
      </c>
      <c r="BD7" s="911">
        <v>1849087418</v>
      </c>
      <c r="BE7" s="911">
        <v>1770081985</v>
      </c>
      <c r="BF7" s="1895">
        <v>10680577911</v>
      </c>
      <c r="BG7" s="1896">
        <v>2022685280</v>
      </c>
      <c r="BH7" s="1896">
        <v>1820098692</v>
      </c>
      <c r="BI7" s="1896">
        <v>1857488238.666666</v>
      </c>
      <c r="BJ7" s="1897">
        <v>1549156069.333334</v>
      </c>
      <c r="BK7" s="1897">
        <v>1649679899</v>
      </c>
      <c r="BL7" s="1897">
        <v>1781469732</v>
      </c>
      <c r="BM7" s="1895">
        <v>10982948252</v>
      </c>
      <c r="BN7" s="1897">
        <v>1897826128</v>
      </c>
      <c r="BO7" s="1897">
        <v>1861419182</v>
      </c>
      <c r="BP7" s="1897">
        <v>1952468653</v>
      </c>
      <c r="BQ7" s="1897">
        <v>1828623548</v>
      </c>
      <c r="BR7" s="1897">
        <v>1560871792</v>
      </c>
      <c r="BS7" s="1898">
        <v>1881738949</v>
      </c>
      <c r="BT7" s="1895">
        <v>11091646897.333334</v>
      </c>
      <c r="BU7" s="1897">
        <v>2063377210.0000005</v>
      </c>
      <c r="BV7" s="1899">
        <v>2027810076.0000005</v>
      </c>
      <c r="BW7" s="1899">
        <v>2018750990.0000005</v>
      </c>
      <c r="BX7" s="1899">
        <v>1764673524.0000005</v>
      </c>
      <c r="BY7" s="1899">
        <v>1576831260.3333335</v>
      </c>
      <c r="BZ7" s="1899">
        <v>1640203837</v>
      </c>
      <c r="CA7" s="1899">
        <v>9913377550</v>
      </c>
      <c r="CB7" s="1899">
        <v>1733880734</v>
      </c>
      <c r="CC7" s="1899">
        <v>1680258881</v>
      </c>
      <c r="CD7" s="1899">
        <v>1750171543</v>
      </c>
      <c r="CE7" s="1899">
        <v>1335391796</v>
      </c>
      <c r="CF7" s="1899">
        <v>1725487661</v>
      </c>
      <c r="CG7" s="1899">
        <v>1688186935</v>
      </c>
      <c r="CH7" s="1364">
        <v>1886304575</v>
      </c>
      <c r="CI7" s="1364">
        <v>1878151356</v>
      </c>
      <c r="CJ7" s="1364">
        <v>1850545862</v>
      </c>
      <c r="CK7" s="1364">
        <v>1772779627</v>
      </c>
      <c r="CL7" s="1364">
        <v>1612444950</v>
      </c>
      <c r="CM7" s="1364">
        <v>1692843349</v>
      </c>
      <c r="CN7" s="1364">
        <v>8351316544</v>
      </c>
      <c r="CO7" s="1364">
        <v>1769092903</v>
      </c>
      <c r="CP7" s="1362">
        <v>1784962190</v>
      </c>
      <c r="CQ7" s="1362">
        <v>1899035913</v>
      </c>
      <c r="CR7" s="1364">
        <v>1539068905</v>
      </c>
      <c r="CS7" s="1363">
        <v>1359156633</v>
      </c>
      <c r="CT7" s="1365">
        <v>0</v>
      </c>
      <c r="CU7" s="1365">
        <v>0</v>
      </c>
      <c r="CV7" s="1365">
        <v>0</v>
      </c>
      <c r="CW7" s="1365">
        <v>0</v>
      </c>
      <c r="CX7" s="1364">
        <v>0</v>
      </c>
      <c r="CY7" s="1353"/>
      <c r="CZ7" s="1361"/>
      <c r="DA7" s="1361"/>
      <c r="DB7" s="1361"/>
    </row>
    <row r="8" spans="1:107" s="974" customFormat="1" ht="17.100000000000001" customHeight="1">
      <c r="B8" s="1878"/>
      <c r="C8" s="55" t="s">
        <v>556</v>
      </c>
      <c r="D8" s="1900">
        <v>4545267676</v>
      </c>
      <c r="E8" s="913">
        <f t="shared" ref="E8:E37" si="0">D8-F8-G8-H8</f>
        <v>1177965381</v>
      </c>
      <c r="F8" s="913">
        <v>1100520070</v>
      </c>
      <c r="G8" s="913">
        <v>1007004751</v>
      </c>
      <c r="H8" s="913">
        <v>1259777474</v>
      </c>
      <c r="I8" s="1900">
        <v>7012405547</v>
      </c>
      <c r="J8" s="913">
        <v>1181463826</v>
      </c>
      <c r="K8" s="913">
        <v>972375031</v>
      </c>
      <c r="L8" s="913">
        <v>1275618738</v>
      </c>
      <c r="M8" s="913">
        <v>1276970186</v>
      </c>
      <c r="N8" s="913">
        <v>1160804304</v>
      </c>
      <c r="O8" s="913">
        <v>1145173462</v>
      </c>
      <c r="P8" s="1900">
        <v>6622131687</v>
      </c>
      <c r="Q8" s="913">
        <v>1367036920</v>
      </c>
      <c r="R8" s="913">
        <v>1139124349</v>
      </c>
      <c r="S8" s="913">
        <v>1136906685</v>
      </c>
      <c r="T8" s="913">
        <v>853646823.5</v>
      </c>
      <c r="U8" s="913">
        <v>983149566</v>
      </c>
      <c r="V8" s="913">
        <v>1142267343.5</v>
      </c>
      <c r="W8" s="1900">
        <v>6905892575.4516125</v>
      </c>
      <c r="X8" s="913">
        <v>1019637908</v>
      </c>
      <c r="Y8" s="913">
        <v>1140827410</v>
      </c>
      <c r="Z8" s="913">
        <v>1282396542.4516125</v>
      </c>
      <c r="AA8" s="913">
        <v>1226773784</v>
      </c>
      <c r="AB8" s="913">
        <v>1122801948</v>
      </c>
      <c r="AC8" s="913">
        <v>1113454983</v>
      </c>
      <c r="AD8" s="1900">
        <v>6375735326</v>
      </c>
      <c r="AE8" s="913">
        <v>1313456453</v>
      </c>
      <c r="AF8" s="913">
        <v>1100071412</v>
      </c>
      <c r="AG8" s="913">
        <v>1103782392</v>
      </c>
      <c r="AH8" s="913">
        <v>816777568</v>
      </c>
      <c r="AI8" s="913">
        <v>937569911</v>
      </c>
      <c r="AJ8" s="913">
        <v>1104077590</v>
      </c>
      <c r="AK8" s="1900">
        <v>6585069394.96807</v>
      </c>
      <c r="AL8" s="913">
        <v>977072275.00000012</v>
      </c>
      <c r="AM8" s="913">
        <v>1103306678</v>
      </c>
      <c r="AN8" s="913">
        <v>1227833987</v>
      </c>
      <c r="AO8" s="913">
        <v>1160455821</v>
      </c>
      <c r="AP8" s="913">
        <v>1087067638</v>
      </c>
      <c r="AQ8" s="913">
        <v>1029332995.9680699</v>
      </c>
      <c r="AR8" s="1900">
        <v>5751292412</v>
      </c>
      <c r="AS8" s="913">
        <v>1206276061</v>
      </c>
      <c r="AT8" s="913">
        <v>1042451293</v>
      </c>
      <c r="AU8" s="913">
        <v>1004192193</v>
      </c>
      <c r="AV8" s="913">
        <v>719949901</v>
      </c>
      <c r="AW8" s="913">
        <v>807142505</v>
      </c>
      <c r="AX8" s="913">
        <v>971280459</v>
      </c>
      <c r="AY8" s="1900">
        <v>6299446330</v>
      </c>
      <c r="AZ8" s="913">
        <v>908135906</v>
      </c>
      <c r="BA8" s="913">
        <v>1071290427</v>
      </c>
      <c r="BB8" s="913">
        <v>1164948692</v>
      </c>
      <c r="BC8" s="913">
        <v>1134578829</v>
      </c>
      <c r="BD8" s="913">
        <v>1046746072</v>
      </c>
      <c r="BE8" s="913">
        <v>973746404</v>
      </c>
      <c r="BF8" s="1900">
        <v>5839283371</v>
      </c>
      <c r="BG8" s="1901">
        <v>1212635754</v>
      </c>
      <c r="BH8" s="1901">
        <v>1003434973</v>
      </c>
      <c r="BI8" s="1901">
        <v>1035284122.333333</v>
      </c>
      <c r="BJ8" s="1902">
        <v>752698971.66666698</v>
      </c>
      <c r="BK8" s="1902">
        <v>851347666</v>
      </c>
      <c r="BL8" s="1902">
        <v>983881884</v>
      </c>
      <c r="BM8" s="1900">
        <v>6020759526</v>
      </c>
      <c r="BN8" s="1902">
        <v>1085575159</v>
      </c>
      <c r="BO8" s="1902">
        <v>1052601293</v>
      </c>
      <c r="BP8" s="1902">
        <v>1141605254</v>
      </c>
      <c r="BQ8" s="1902">
        <v>879977456</v>
      </c>
      <c r="BR8" s="1902">
        <v>760164237</v>
      </c>
      <c r="BS8" s="1903">
        <v>1100836127</v>
      </c>
      <c r="BT8" s="1900">
        <v>6409403756.333334</v>
      </c>
      <c r="BU8" s="1902">
        <v>1264945337.0000005</v>
      </c>
      <c r="BV8" s="1904">
        <v>1235956430.0000005</v>
      </c>
      <c r="BW8" s="1904">
        <v>1233947912</v>
      </c>
      <c r="BX8" s="1904">
        <v>991855963</v>
      </c>
      <c r="BY8" s="1904">
        <v>807131058.33333349</v>
      </c>
      <c r="BZ8" s="1904">
        <v>875567056</v>
      </c>
      <c r="CA8" s="1905">
        <v>5422165103</v>
      </c>
      <c r="CB8" s="1904">
        <v>955491247</v>
      </c>
      <c r="CC8" s="1904">
        <v>907781364</v>
      </c>
      <c r="CD8" s="1904">
        <v>989165315</v>
      </c>
      <c r="CE8" s="1904">
        <v>611626857</v>
      </c>
      <c r="CF8" s="1904">
        <v>999648644</v>
      </c>
      <c r="CG8" s="1904">
        <v>958451676</v>
      </c>
      <c r="CH8" s="1367">
        <v>1145911277</v>
      </c>
      <c r="CI8" s="1367">
        <v>1145306970</v>
      </c>
      <c r="CJ8" s="1367">
        <v>1141885370</v>
      </c>
      <c r="CK8" s="1367">
        <v>1079050453</v>
      </c>
      <c r="CL8" s="1367">
        <v>916894640</v>
      </c>
      <c r="CM8" s="1367">
        <v>973640760</v>
      </c>
      <c r="CN8" s="1368">
        <v>4683988710</v>
      </c>
      <c r="CO8" s="1367">
        <v>1036653880</v>
      </c>
      <c r="CP8" s="1366">
        <v>995565450</v>
      </c>
      <c r="CQ8" s="1366">
        <v>1075983670</v>
      </c>
      <c r="CR8" s="1367">
        <v>764653710</v>
      </c>
      <c r="CS8" s="982">
        <v>811132000</v>
      </c>
      <c r="CT8" s="1369">
        <v>0</v>
      </c>
      <c r="CU8" s="1369">
        <v>0</v>
      </c>
      <c r="CV8" s="1369">
        <v>0</v>
      </c>
      <c r="CW8" s="1369">
        <v>0</v>
      </c>
      <c r="CX8" s="1367">
        <v>0</v>
      </c>
      <c r="CY8" s="1353"/>
      <c r="CZ8" s="1361"/>
      <c r="DA8" s="1361"/>
      <c r="DB8" s="1361"/>
      <c r="DC8" s="1005"/>
    </row>
    <row r="9" spans="1:107" s="974" customFormat="1" ht="17.100000000000001" customHeight="1">
      <c r="B9" s="1878"/>
      <c r="C9" s="55" t="s">
        <v>836</v>
      </c>
      <c r="D9" s="1900">
        <v>3697308716</v>
      </c>
      <c r="E9" s="913">
        <f t="shared" si="0"/>
        <v>928582470</v>
      </c>
      <c r="F9" s="913">
        <v>927074540</v>
      </c>
      <c r="G9" s="913">
        <v>924153239</v>
      </c>
      <c r="H9" s="913">
        <v>917498467</v>
      </c>
      <c r="I9" s="1900">
        <v>5465659335</v>
      </c>
      <c r="J9" s="913">
        <v>921281312</v>
      </c>
      <c r="K9" s="913">
        <v>915874505</v>
      </c>
      <c r="L9" s="913">
        <v>915083209</v>
      </c>
      <c r="M9" s="913">
        <v>909460009</v>
      </c>
      <c r="N9" s="913">
        <v>906866433</v>
      </c>
      <c r="O9" s="913">
        <v>897093867</v>
      </c>
      <c r="P9" s="1900">
        <v>5383173055</v>
      </c>
      <c r="Q9" s="913">
        <v>901193869.99999976</v>
      </c>
      <c r="R9" s="913">
        <v>903600669.99999976</v>
      </c>
      <c r="S9" s="913">
        <v>903205048.99999976</v>
      </c>
      <c r="T9" s="913">
        <v>896618098.29999995</v>
      </c>
      <c r="U9" s="913">
        <v>897026317</v>
      </c>
      <c r="V9" s="913">
        <v>881529050.70000005</v>
      </c>
      <c r="W9" s="1900">
        <v>5255904730.9354839</v>
      </c>
      <c r="X9" s="913">
        <v>882165474</v>
      </c>
      <c r="Y9" s="913">
        <v>880559167</v>
      </c>
      <c r="Z9" s="913">
        <v>879693243.93548393</v>
      </c>
      <c r="AA9" s="913">
        <v>874179717</v>
      </c>
      <c r="AB9" s="913">
        <v>871954603</v>
      </c>
      <c r="AC9" s="913">
        <v>867352526</v>
      </c>
      <c r="AD9" s="1900">
        <v>5197118157</v>
      </c>
      <c r="AE9" s="913">
        <v>870697749</v>
      </c>
      <c r="AF9" s="913">
        <v>870053416</v>
      </c>
      <c r="AG9" s="913">
        <v>869213516</v>
      </c>
      <c r="AH9" s="913">
        <v>867246710</v>
      </c>
      <c r="AI9" s="913">
        <v>861969906</v>
      </c>
      <c r="AJ9" s="913">
        <v>857936860</v>
      </c>
      <c r="AK9" s="1900">
        <v>5124624501.9585247</v>
      </c>
      <c r="AL9" s="913">
        <v>870567718.57142794</v>
      </c>
      <c r="AM9" s="913">
        <v>853634967.00000012</v>
      </c>
      <c r="AN9" s="913">
        <v>843915485.00000012</v>
      </c>
      <c r="AO9" s="913">
        <v>849449654.00000012</v>
      </c>
      <c r="AP9" s="913">
        <v>845502832.00000012</v>
      </c>
      <c r="AQ9" s="913">
        <v>861553845.38709676</v>
      </c>
      <c r="AR9" s="1900">
        <v>4840853983</v>
      </c>
      <c r="AS9" s="913">
        <v>810868758</v>
      </c>
      <c r="AT9" s="913">
        <v>808808497</v>
      </c>
      <c r="AU9" s="913">
        <v>806569844</v>
      </c>
      <c r="AV9" s="913">
        <v>806425867</v>
      </c>
      <c r="AW9" s="913">
        <v>817413120</v>
      </c>
      <c r="AX9" s="913">
        <v>790767897</v>
      </c>
      <c r="AY9" s="1900">
        <v>4710556013</v>
      </c>
      <c r="AZ9" s="913">
        <v>797453901</v>
      </c>
      <c r="BA9" s="913">
        <v>776921199</v>
      </c>
      <c r="BB9" s="913">
        <v>794078387</v>
      </c>
      <c r="BC9" s="913">
        <v>791184441</v>
      </c>
      <c r="BD9" s="913">
        <v>779401899</v>
      </c>
      <c r="BE9" s="913">
        <v>771516186</v>
      </c>
      <c r="BF9" s="1900">
        <v>4649825975</v>
      </c>
      <c r="BG9" s="1901">
        <v>772244646</v>
      </c>
      <c r="BH9" s="1901">
        <v>776470693</v>
      </c>
      <c r="BI9" s="1901">
        <v>782138870.33333302</v>
      </c>
      <c r="BJ9" s="1902">
        <v>772213659.66666698</v>
      </c>
      <c r="BK9" s="1902">
        <v>775213463</v>
      </c>
      <c r="BL9" s="1902">
        <v>771544643</v>
      </c>
      <c r="BM9" s="1900">
        <v>4630405477</v>
      </c>
      <c r="BN9" s="1902">
        <v>777201687</v>
      </c>
      <c r="BO9" s="1902">
        <v>771829675</v>
      </c>
      <c r="BP9" s="1902">
        <v>774816673</v>
      </c>
      <c r="BQ9" s="1902">
        <v>774593012</v>
      </c>
      <c r="BR9" s="1902">
        <v>776962808</v>
      </c>
      <c r="BS9" s="1903">
        <v>755001622</v>
      </c>
      <c r="BT9" s="1900">
        <v>4489491085</v>
      </c>
      <c r="BU9" s="1902">
        <v>756192138</v>
      </c>
      <c r="BV9" s="1904">
        <v>752290438</v>
      </c>
      <c r="BW9" s="1904">
        <v>747800449</v>
      </c>
      <c r="BX9" s="1904">
        <v>746842168</v>
      </c>
      <c r="BY9" s="1904">
        <v>745911562</v>
      </c>
      <c r="BZ9" s="1904">
        <v>740454330</v>
      </c>
      <c r="CA9" s="1905">
        <v>4285825318</v>
      </c>
      <c r="CB9" s="1904">
        <v>740484031</v>
      </c>
      <c r="CC9" s="1904">
        <v>726265757</v>
      </c>
      <c r="CD9" s="1904">
        <v>720091143</v>
      </c>
      <c r="CE9" s="1904">
        <v>694185567</v>
      </c>
      <c r="CF9" s="1904">
        <v>704355383</v>
      </c>
      <c r="CG9" s="1904">
        <v>700443437</v>
      </c>
      <c r="CH9" s="1367">
        <v>688935250</v>
      </c>
      <c r="CI9" s="1367">
        <v>685091250</v>
      </c>
      <c r="CJ9" s="1367">
        <v>673316600</v>
      </c>
      <c r="CK9" s="1367">
        <v>668649550</v>
      </c>
      <c r="CL9" s="1367">
        <v>672386510</v>
      </c>
      <c r="CM9" s="1367">
        <v>693223170</v>
      </c>
      <c r="CN9" s="1368">
        <v>3500544810</v>
      </c>
      <c r="CO9" s="1367">
        <v>698237870</v>
      </c>
      <c r="CP9" s="1366">
        <v>742031030</v>
      </c>
      <c r="CQ9" s="1366">
        <v>774990590</v>
      </c>
      <c r="CR9" s="1367">
        <v>737784520</v>
      </c>
      <c r="CS9" s="982">
        <v>547500800</v>
      </c>
      <c r="CT9" s="1369">
        <v>0</v>
      </c>
      <c r="CU9" s="1369">
        <v>0</v>
      </c>
      <c r="CV9" s="1369">
        <v>0</v>
      </c>
      <c r="CW9" s="1369">
        <v>0</v>
      </c>
      <c r="CX9" s="1367">
        <v>0</v>
      </c>
      <c r="CY9" s="1353"/>
      <c r="CZ9" s="1361"/>
      <c r="DA9" s="1361"/>
      <c r="DB9" s="1361"/>
      <c r="DC9" s="1005"/>
    </row>
    <row r="10" spans="1:107" s="974" customFormat="1" ht="17.100000000000001" customHeight="1">
      <c r="B10" s="1878"/>
      <c r="C10" s="55" t="s">
        <v>837</v>
      </c>
      <c r="D10" s="1900">
        <v>158083727</v>
      </c>
      <c r="E10" s="913">
        <f t="shared" si="0"/>
        <v>50297883</v>
      </c>
      <c r="F10" s="913">
        <v>34683999</v>
      </c>
      <c r="G10" s="913">
        <v>30319322</v>
      </c>
      <c r="H10" s="913">
        <v>42782523</v>
      </c>
      <c r="I10" s="1900">
        <v>425501076</v>
      </c>
      <c r="J10" s="913">
        <v>176304152</v>
      </c>
      <c r="K10" s="913">
        <v>60558699</v>
      </c>
      <c r="L10" s="913">
        <v>55467636</v>
      </c>
      <c r="M10" s="913">
        <v>51143807</v>
      </c>
      <c r="N10" s="913">
        <v>37151337</v>
      </c>
      <c r="O10" s="913">
        <v>44875445</v>
      </c>
      <c r="P10" s="1900">
        <v>298717813</v>
      </c>
      <c r="Q10" s="913">
        <v>64772235</v>
      </c>
      <c r="R10" s="913">
        <v>62090741</v>
      </c>
      <c r="S10" s="913">
        <v>61301781</v>
      </c>
      <c r="T10" s="913">
        <v>40237233</v>
      </c>
      <c r="U10" s="913">
        <v>33803709</v>
      </c>
      <c r="V10" s="913">
        <v>36512114</v>
      </c>
      <c r="W10" s="1900">
        <v>340948970</v>
      </c>
      <c r="X10" s="913">
        <v>129719134</v>
      </c>
      <c r="Y10" s="913">
        <v>56244057</v>
      </c>
      <c r="Z10" s="913">
        <v>53051662</v>
      </c>
      <c r="AA10" s="913">
        <v>38794084</v>
      </c>
      <c r="AB10" s="913">
        <v>29855599</v>
      </c>
      <c r="AC10" s="913">
        <v>33284434</v>
      </c>
      <c r="AD10" s="1900">
        <v>230799188</v>
      </c>
      <c r="AE10" s="913">
        <v>49005221</v>
      </c>
      <c r="AF10" s="913">
        <v>52901826</v>
      </c>
      <c r="AG10" s="913">
        <v>41362094</v>
      </c>
      <c r="AH10" s="913">
        <v>27865179</v>
      </c>
      <c r="AI10" s="913">
        <v>25650653</v>
      </c>
      <c r="AJ10" s="913">
        <v>34014215</v>
      </c>
      <c r="AK10" s="1900">
        <v>297406965</v>
      </c>
      <c r="AL10" s="913">
        <v>133991107</v>
      </c>
      <c r="AM10" s="913">
        <v>42672388</v>
      </c>
      <c r="AN10" s="913">
        <v>39229134</v>
      </c>
      <c r="AO10" s="913">
        <v>32122236</v>
      </c>
      <c r="AP10" s="913">
        <v>24306733</v>
      </c>
      <c r="AQ10" s="913">
        <v>25085367</v>
      </c>
      <c r="AR10" s="1900">
        <v>294127655</v>
      </c>
      <c r="AS10" s="913">
        <v>41193653</v>
      </c>
      <c r="AT10" s="913">
        <v>45602286</v>
      </c>
      <c r="AU10" s="913">
        <v>40086609</v>
      </c>
      <c r="AV10" s="913">
        <v>22334400</v>
      </c>
      <c r="AW10" s="913">
        <v>120952759</v>
      </c>
      <c r="AX10" s="913">
        <v>23957948</v>
      </c>
      <c r="AY10" s="1900">
        <v>287807432</v>
      </c>
      <c r="AZ10" s="913">
        <v>32941670</v>
      </c>
      <c r="BA10" s="913">
        <v>40121897</v>
      </c>
      <c r="BB10" s="913">
        <v>37397378</v>
      </c>
      <c r="BC10" s="913">
        <v>129587645</v>
      </c>
      <c r="BD10" s="913">
        <v>22939447</v>
      </c>
      <c r="BE10" s="913">
        <v>24819395</v>
      </c>
      <c r="BF10" s="1900">
        <v>191468565</v>
      </c>
      <c r="BG10" s="1901">
        <v>37804880</v>
      </c>
      <c r="BH10" s="1901">
        <v>40193026</v>
      </c>
      <c r="BI10" s="1901">
        <v>40065246</v>
      </c>
      <c r="BJ10" s="1902">
        <v>24243438</v>
      </c>
      <c r="BK10" s="1902">
        <v>23118770</v>
      </c>
      <c r="BL10" s="1902">
        <v>26043205</v>
      </c>
      <c r="BM10" s="1900">
        <v>331783249</v>
      </c>
      <c r="BN10" s="1902">
        <v>35049282</v>
      </c>
      <c r="BO10" s="1902">
        <v>36988214</v>
      </c>
      <c r="BP10" s="1902">
        <v>36046726</v>
      </c>
      <c r="BQ10" s="1902">
        <v>174053080</v>
      </c>
      <c r="BR10" s="1902">
        <v>23744747</v>
      </c>
      <c r="BS10" s="1903">
        <v>25901200</v>
      </c>
      <c r="BT10" s="1900">
        <v>192752056</v>
      </c>
      <c r="BU10" s="1902">
        <v>42239735</v>
      </c>
      <c r="BV10" s="1904">
        <v>39563208</v>
      </c>
      <c r="BW10" s="1904">
        <v>37002629</v>
      </c>
      <c r="BX10" s="1904">
        <v>25975393</v>
      </c>
      <c r="BY10" s="1904">
        <v>23788640</v>
      </c>
      <c r="BZ10" s="1904">
        <v>24182451</v>
      </c>
      <c r="CA10" s="1905">
        <v>205387129</v>
      </c>
      <c r="CB10" s="1904">
        <v>37905456</v>
      </c>
      <c r="CC10" s="1904">
        <v>46211760</v>
      </c>
      <c r="CD10" s="1904">
        <v>40915085</v>
      </c>
      <c r="CE10" s="1904">
        <v>29579372</v>
      </c>
      <c r="CF10" s="1904">
        <v>21483634</v>
      </c>
      <c r="CG10" s="1904">
        <v>29291822</v>
      </c>
      <c r="CH10" s="1367">
        <v>51458048</v>
      </c>
      <c r="CI10" s="1367">
        <v>47753136</v>
      </c>
      <c r="CJ10" s="1367">
        <v>35343892</v>
      </c>
      <c r="CK10" s="1367">
        <v>25079624</v>
      </c>
      <c r="CL10" s="1367">
        <v>23163800</v>
      </c>
      <c r="CM10" s="1367">
        <v>25979419</v>
      </c>
      <c r="CN10" s="1368">
        <v>166783024</v>
      </c>
      <c r="CO10" s="1367">
        <v>34201153</v>
      </c>
      <c r="CP10" s="1366">
        <v>47365710</v>
      </c>
      <c r="CQ10" s="1366">
        <v>48061653</v>
      </c>
      <c r="CR10" s="1367">
        <v>36630675</v>
      </c>
      <c r="CS10" s="982">
        <v>523833</v>
      </c>
      <c r="CT10" s="1369">
        <v>0</v>
      </c>
      <c r="CU10" s="1369">
        <v>0</v>
      </c>
      <c r="CV10" s="1369">
        <v>0</v>
      </c>
      <c r="CW10" s="1369">
        <v>0</v>
      </c>
      <c r="CX10" s="1367">
        <v>0</v>
      </c>
      <c r="CY10" s="1353"/>
      <c r="CZ10" s="1361"/>
      <c r="DA10" s="1361"/>
      <c r="DB10" s="1361"/>
      <c r="DC10" s="1005"/>
    </row>
    <row r="11" spans="1:107" s="974" customFormat="1" ht="17.100000000000001" customHeight="1">
      <c r="B11" s="1878"/>
      <c r="C11" s="55" t="s">
        <v>838</v>
      </c>
      <c r="D11" s="1900">
        <v>0</v>
      </c>
      <c r="E11" s="913">
        <f t="shared" si="0"/>
        <v>0</v>
      </c>
      <c r="F11" s="913">
        <v>0</v>
      </c>
      <c r="G11" s="913">
        <v>0</v>
      </c>
      <c r="H11" s="913">
        <v>0</v>
      </c>
      <c r="I11" s="1900">
        <v>0</v>
      </c>
      <c r="J11" s="913">
        <v>0</v>
      </c>
      <c r="K11" s="913">
        <v>0</v>
      </c>
      <c r="L11" s="913">
        <v>0</v>
      </c>
      <c r="M11" s="913">
        <v>0</v>
      </c>
      <c r="N11" s="913">
        <v>0</v>
      </c>
      <c r="O11" s="913">
        <v>0</v>
      </c>
      <c r="P11" s="1900">
        <v>0</v>
      </c>
      <c r="Q11" s="913">
        <v>0</v>
      </c>
      <c r="R11" s="913">
        <v>0</v>
      </c>
      <c r="S11" s="913">
        <v>0</v>
      </c>
      <c r="T11" s="913">
        <v>0</v>
      </c>
      <c r="U11" s="913">
        <v>0</v>
      </c>
      <c r="V11" s="913">
        <v>0</v>
      </c>
      <c r="W11" s="1900">
        <v>0</v>
      </c>
      <c r="X11" s="913">
        <v>0</v>
      </c>
      <c r="Y11" s="913">
        <v>0</v>
      </c>
      <c r="Z11" s="913">
        <v>0</v>
      </c>
      <c r="AA11" s="913">
        <v>0</v>
      </c>
      <c r="AB11" s="913">
        <v>0</v>
      </c>
      <c r="AC11" s="913">
        <v>0</v>
      </c>
      <c r="AD11" s="1900">
        <v>0</v>
      </c>
      <c r="AE11" s="913">
        <v>0</v>
      </c>
      <c r="AF11" s="913">
        <v>0</v>
      </c>
      <c r="AG11" s="913">
        <v>0</v>
      </c>
      <c r="AH11" s="913">
        <v>0</v>
      </c>
      <c r="AI11" s="913">
        <v>0</v>
      </c>
      <c r="AJ11" s="913">
        <v>0</v>
      </c>
      <c r="AK11" s="1900">
        <v>0</v>
      </c>
      <c r="AL11" s="913">
        <v>0</v>
      </c>
      <c r="AM11" s="913">
        <v>0</v>
      </c>
      <c r="AN11" s="913">
        <v>0</v>
      </c>
      <c r="AO11" s="913">
        <v>0</v>
      </c>
      <c r="AP11" s="913">
        <v>0</v>
      </c>
      <c r="AQ11" s="913">
        <v>0</v>
      </c>
      <c r="AR11" s="1900">
        <v>0</v>
      </c>
      <c r="AS11" s="913">
        <v>0</v>
      </c>
      <c r="AT11" s="913">
        <v>0</v>
      </c>
      <c r="AU11" s="913">
        <v>0</v>
      </c>
      <c r="AV11" s="913">
        <v>0</v>
      </c>
      <c r="AW11" s="913">
        <v>0</v>
      </c>
      <c r="AX11" s="913">
        <v>0</v>
      </c>
      <c r="AY11" s="1900">
        <v>0</v>
      </c>
      <c r="AZ11" s="913">
        <v>0</v>
      </c>
      <c r="BA11" s="913">
        <v>0</v>
      </c>
      <c r="BB11" s="913">
        <v>0</v>
      </c>
      <c r="BC11" s="913">
        <v>0</v>
      </c>
      <c r="BD11" s="913">
        <v>0</v>
      </c>
      <c r="BE11" s="913">
        <v>0</v>
      </c>
      <c r="BF11" s="1900">
        <v>0</v>
      </c>
      <c r="BG11" s="1901">
        <v>0</v>
      </c>
      <c r="BH11" s="1901">
        <v>0</v>
      </c>
      <c r="BI11" s="1901">
        <v>0</v>
      </c>
      <c r="BJ11" s="1902">
        <v>0</v>
      </c>
      <c r="BK11" s="1902">
        <v>0</v>
      </c>
      <c r="BL11" s="1902">
        <v>0</v>
      </c>
      <c r="BM11" s="1900">
        <v>0</v>
      </c>
      <c r="BN11" s="1902">
        <v>0</v>
      </c>
      <c r="BO11" s="1902">
        <v>0</v>
      </c>
      <c r="BP11" s="1902">
        <v>0</v>
      </c>
      <c r="BQ11" s="1902">
        <v>0</v>
      </c>
      <c r="BR11" s="1902">
        <v>0</v>
      </c>
      <c r="BS11" s="1903">
        <v>0</v>
      </c>
      <c r="BT11" s="1900">
        <v>0</v>
      </c>
      <c r="BU11" s="1902">
        <v>0</v>
      </c>
      <c r="BV11" s="1904">
        <v>0</v>
      </c>
      <c r="BW11" s="1904">
        <v>0</v>
      </c>
      <c r="BX11" s="1904">
        <v>0</v>
      </c>
      <c r="BY11" s="1904">
        <v>0</v>
      </c>
      <c r="BZ11" s="1904">
        <v>0</v>
      </c>
      <c r="CA11" s="1905">
        <v>0</v>
      </c>
      <c r="CB11" s="1904">
        <v>0</v>
      </c>
      <c r="CC11" s="1904">
        <v>0</v>
      </c>
      <c r="CD11" s="1904">
        <v>0</v>
      </c>
      <c r="CE11" s="1904">
        <v>0</v>
      </c>
      <c r="CF11" s="1904">
        <v>0</v>
      </c>
      <c r="CG11" s="1904">
        <v>0</v>
      </c>
      <c r="CH11" s="1367">
        <v>0</v>
      </c>
      <c r="CI11" s="1367">
        <v>0</v>
      </c>
      <c r="CJ11" s="1367">
        <v>0</v>
      </c>
      <c r="CK11" s="1367">
        <v>0</v>
      </c>
      <c r="CL11" s="1367">
        <v>0</v>
      </c>
      <c r="CM11" s="1367">
        <v>0</v>
      </c>
      <c r="CN11" s="1368">
        <v>0</v>
      </c>
      <c r="CO11" s="1367">
        <v>0</v>
      </c>
      <c r="CP11" s="1366">
        <v>0</v>
      </c>
      <c r="CQ11" s="1366">
        <v>0</v>
      </c>
      <c r="CR11" s="1367">
        <v>0</v>
      </c>
      <c r="CS11" s="982">
        <v>0</v>
      </c>
      <c r="CT11" s="1369">
        <v>0</v>
      </c>
      <c r="CU11" s="1369">
        <v>0</v>
      </c>
      <c r="CV11" s="1369">
        <v>0</v>
      </c>
      <c r="CW11" s="1369">
        <v>0</v>
      </c>
      <c r="CX11" s="1367">
        <v>0</v>
      </c>
      <c r="CY11" s="958"/>
      <c r="CZ11" s="1361"/>
      <c r="DA11" s="1361"/>
      <c r="DB11" s="1361"/>
      <c r="DC11" s="1005"/>
    </row>
    <row r="12" spans="1:107" s="1005" customFormat="1" ht="17.100000000000001" customHeight="1">
      <c r="B12" s="2769" t="s">
        <v>557</v>
      </c>
      <c r="C12" s="2770"/>
      <c r="D12" s="1895">
        <f>D13+D19</f>
        <v>4155739783</v>
      </c>
      <c r="E12" s="911">
        <f t="shared" si="0"/>
        <v>977412020</v>
      </c>
      <c r="F12" s="911">
        <v>1085636031</v>
      </c>
      <c r="G12" s="911">
        <v>1075152994</v>
      </c>
      <c r="H12" s="911">
        <v>1017538738</v>
      </c>
      <c r="I12" s="1895">
        <v>6731249726</v>
      </c>
      <c r="J12" s="911">
        <v>1331242527</v>
      </c>
      <c r="K12" s="911">
        <v>1033044754</v>
      </c>
      <c r="L12" s="911">
        <v>1074980372</v>
      </c>
      <c r="M12" s="911">
        <v>1071787055</v>
      </c>
      <c r="N12" s="911">
        <v>1029820358</v>
      </c>
      <c r="O12" s="911">
        <v>1190374660</v>
      </c>
      <c r="P12" s="1895">
        <v>6515554618</v>
      </c>
      <c r="Q12" s="911">
        <v>1097891414</v>
      </c>
      <c r="R12" s="911">
        <v>1124083679</v>
      </c>
      <c r="S12" s="911">
        <v>1114292731</v>
      </c>
      <c r="T12" s="911">
        <v>1081968635</v>
      </c>
      <c r="U12" s="911">
        <v>1082932982</v>
      </c>
      <c r="V12" s="911">
        <v>1014385177</v>
      </c>
      <c r="W12" s="1895">
        <v>6456415883</v>
      </c>
      <c r="X12" s="911">
        <v>1320019543</v>
      </c>
      <c r="Y12" s="911">
        <v>1031458309</v>
      </c>
      <c r="Z12" s="911">
        <v>1057058679</v>
      </c>
      <c r="AA12" s="911">
        <v>1075531617</v>
      </c>
      <c r="AB12" s="911">
        <v>994456830</v>
      </c>
      <c r="AC12" s="911">
        <v>977890905</v>
      </c>
      <c r="AD12" s="1895">
        <v>6132954515</v>
      </c>
      <c r="AE12" s="911">
        <v>1003045435</v>
      </c>
      <c r="AF12" s="911">
        <v>1107411053</v>
      </c>
      <c r="AG12" s="911">
        <v>1048131082</v>
      </c>
      <c r="AH12" s="911">
        <v>1014523478</v>
      </c>
      <c r="AI12" s="911">
        <v>1001330677</v>
      </c>
      <c r="AJ12" s="911">
        <v>958512790</v>
      </c>
      <c r="AK12" s="1895">
        <v>6087752554</v>
      </c>
      <c r="AL12" s="911">
        <v>1147336584</v>
      </c>
      <c r="AM12" s="911">
        <v>996490727</v>
      </c>
      <c r="AN12" s="911">
        <v>1012204528</v>
      </c>
      <c r="AO12" s="911">
        <v>988574058</v>
      </c>
      <c r="AP12" s="911">
        <v>1012713181</v>
      </c>
      <c r="AQ12" s="911">
        <v>930433476</v>
      </c>
      <c r="AR12" s="1895">
        <v>16397305389</v>
      </c>
      <c r="AS12" s="911">
        <v>11979894909</v>
      </c>
      <c r="AT12" s="911">
        <v>903073175</v>
      </c>
      <c r="AU12" s="911">
        <v>914743419</v>
      </c>
      <c r="AV12" s="911">
        <v>896758443</v>
      </c>
      <c r="AW12" s="911">
        <v>856046142</v>
      </c>
      <c r="AX12" s="911">
        <v>846789301</v>
      </c>
      <c r="AY12" s="1895">
        <v>5150593153</v>
      </c>
      <c r="AZ12" s="911">
        <v>825513224</v>
      </c>
      <c r="BA12" s="911">
        <v>863819794</v>
      </c>
      <c r="BB12" s="911">
        <v>880250188</v>
      </c>
      <c r="BC12" s="911">
        <v>876803567</v>
      </c>
      <c r="BD12" s="911">
        <v>873960707</v>
      </c>
      <c r="BE12" s="911">
        <v>830245673</v>
      </c>
      <c r="BF12" s="1895">
        <v>5300425686</v>
      </c>
      <c r="BG12" s="1896">
        <v>867077127</v>
      </c>
      <c r="BH12" s="1896">
        <v>922226145</v>
      </c>
      <c r="BI12" s="1896">
        <v>906853060</v>
      </c>
      <c r="BJ12" s="1897">
        <v>898745207</v>
      </c>
      <c r="BK12" s="1897">
        <v>859188267</v>
      </c>
      <c r="BL12" s="1897">
        <v>846335880</v>
      </c>
      <c r="BM12" s="1895">
        <v>5087944153</v>
      </c>
      <c r="BN12" s="1897">
        <v>824688941</v>
      </c>
      <c r="BO12" s="1897">
        <v>856594796</v>
      </c>
      <c r="BP12" s="1897">
        <v>858365781</v>
      </c>
      <c r="BQ12" s="1897">
        <v>857879611</v>
      </c>
      <c r="BR12" s="1897">
        <v>844396229</v>
      </c>
      <c r="BS12" s="1898">
        <v>846018795</v>
      </c>
      <c r="BT12" s="1895">
        <v>5262141212</v>
      </c>
      <c r="BU12" s="1897">
        <v>854371958</v>
      </c>
      <c r="BV12" s="1899">
        <v>910601427</v>
      </c>
      <c r="BW12" s="1899">
        <v>892633014</v>
      </c>
      <c r="BX12" s="1899">
        <v>885670103</v>
      </c>
      <c r="BY12" s="1899">
        <v>875125729</v>
      </c>
      <c r="BZ12" s="1899">
        <v>843738981</v>
      </c>
      <c r="CA12" s="1899">
        <v>5145641505</v>
      </c>
      <c r="CB12" s="1899">
        <v>835786691</v>
      </c>
      <c r="CC12" s="1899">
        <v>869355525</v>
      </c>
      <c r="CD12" s="1899">
        <v>900868004</v>
      </c>
      <c r="CE12" s="1899">
        <v>877854318</v>
      </c>
      <c r="CF12" s="1899">
        <v>849038920</v>
      </c>
      <c r="CG12" s="1899">
        <v>812738047</v>
      </c>
      <c r="CH12" s="1364">
        <v>841155192.10000038</v>
      </c>
      <c r="CI12" s="1364">
        <v>920704124.89999962</v>
      </c>
      <c r="CJ12" s="1364">
        <v>905272567.30000019</v>
      </c>
      <c r="CK12" s="1364">
        <v>890159580.69999981</v>
      </c>
      <c r="CL12" s="1364">
        <v>862126186</v>
      </c>
      <c r="CM12" s="1364">
        <v>831093738</v>
      </c>
      <c r="CN12" s="1364">
        <v>4083875657</v>
      </c>
      <c r="CO12" s="1364">
        <v>876456355</v>
      </c>
      <c r="CP12" s="1362">
        <v>824551184</v>
      </c>
      <c r="CQ12" s="1362">
        <v>843145636</v>
      </c>
      <c r="CR12" s="1364">
        <v>860324348</v>
      </c>
      <c r="CS12" s="1363">
        <v>679398134</v>
      </c>
      <c r="CT12" s="1365">
        <v>0</v>
      </c>
      <c r="CU12" s="1365">
        <v>0</v>
      </c>
      <c r="CV12" s="1365">
        <v>0</v>
      </c>
      <c r="CW12" s="1365">
        <v>0</v>
      </c>
      <c r="CX12" s="1364">
        <v>0</v>
      </c>
      <c r="CY12" s="1353"/>
      <c r="CZ12" s="1361"/>
      <c r="DA12" s="1361"/>
      <c r="DB12" s="1361"/>
    </row>
    <row r="13" spans="1:107" s="974" customFormat="1" ht="17.100000000000001" customHeight="1">
      <c r="B13" s="2771" t="s">
        <v>839</v>
      </c>
      <c r="C13" s="2772"/>
      <c r="D13" s="1906">
        <f>SUM(D14:D18)</f>
        <v>1944902746</v>
      </c>
      <c r="E13" s="1907">
        <f t="shared" si="0"/>
        <v>427650949</v>
      </c>
      <c r="F13" s="1907">
        <v>540277395</v>
      </c>
      <c r="G13" s="1907">
        <v>505618499</v>
      </c>
      <c r="H13" s="1907">
        <v>471355903</v>
      </c>
      <c r="I13" s="1906">
        <v>2932502275</v>
      </c>
      <c r="J13" s="1907">
        <v>481323574</v>
      </c>
      <c r="K13" s="1907">
        <v>486404458</v>
      </c>
      <c r="L13" s="1907">
        <v>527070266</v>
      </c>
      <c r="M13" s="1907">
        <v>506985105</v>
      </c>
      <c r="N13" s="1907">
        <v>488610939</v>
      </c>
      <c r="O13" s="1907">
        <v>442107933</v>
      </c>
      <c r="P13" s="1906">
        <v>3248002306</v>
      </c>
      <c r="Q13" s="1907">
        <v>552116389</v>
      </c>
      <c r="R13" s="1907">
        <v>580608902</v>
      </c>
      <c r="S13" s="1907">
        <v>569827295</v>
      </c>
      <c r="T13" s="1907">
        <v>537489374</v>
      </c>
      <c r="U13" s="1907">
        <v>537796975</v>
      </c>
      <c r="V13" s="1907">
        <v>470163371</v>
      </c>
      <c r="W13" s="1906">
        <v>2865031213</v>
      </c>
      <c r="X13" s="1907">
        <v>471795560</v>
      </c>
      <c r="Y13" s="1907">
        <v>491205523</v>
      </c>
      <c r="Z13" s="1907">
        <v>515073489</v>
      </c>
      <c r="AA13" s="1907">
        <v>516121691</v>
      </c>
      <c r="AB13" s="1907">
        <v>446893205</v>
      </c>
      <c r="AC13" s="1907">
        <v>423941745</v>
      </c>
      <c r="AD13" s="1906">
        <v>2865367097</v>
      </c>
      <c r="AE13" s="1907">
        <v>455588771</v>
      </c>
      <c r="AF13" s="1907">
        <v>540013233</v>
      </c>
      <c r="AG13" s="1907">
        <v>507789847</v>
      </c>
      <c r="AH13" s="1907">
        <v>478124994</v>
      </c>
      <c r="AI13" s="1907">
        <v>464483279</v>
      </c>
      <c r="AJ13" s="1907">
        <v>419366973</v>
      </c>
      <c r="AK13" s="1906">
        <v>2616359416</v>
      </c>
      <c r="AL13" s="1907">
        <v>411036673</v>
      </c>
      <c r="AM13" s="1907">
        <v>459765643</v>
      </c>
      <c r="AN13" s="1907">
        <v>475191596</v>
      </c>
      <c r="AO13" s="1907">
        <v>452307519</v>
      </c>
      <c r="AP13" s="1907">
        <v>417212422</v>
      </c>
      <c r="AQ13" s="1907">
        <v>400845563</v>
      </c>
      <c r="AR13" s="1906">
        <v>2660489059</v>
      </c>
      <c r="AS13" s="1907">
        <v>420653801</v>
      </c>
      <c r="AT13" s="1907">
        <v>470904714</v>
      </c>
      <c r="AU13" s="1907">
        <v>477278393</v>
      </c>
      <c r="AV13" s="1907">
        <v>458980265</v>
      </c>
      <c r="AW13" s="1907">
        <v>420983139</v>
      </c>
      <c r="AX13" s="1907">
        <v>411688747</v>
      </c>
      <c r="AY13" s="1906">
        <v>2513312153</v>
      </c>
      <c r="AZ13" s="1907">
        <v>413058150</v>
      </c>
      <c r="BA13" s="1907">
        <v>428614692</v>
      </c>
      <c r="BB13" s="1907">
        <v>442140910</v>
      </c>
      <c r="BC13" s="1907">
        <v>436132179</v>
      </c>
      <c r="BD13" s="1907">
        <v>408137147</v>
      </c>
      <c r="BE13" s="1907">
        <v>385229075</v>
      </c>
      <c r="BF13" s="1906">
        <v>2683971875</v>
      </c>
      <c r="BG13" s="1908">
        <v>426016275</v>
      </c>
      <c r="BH13" s="1908">
        <v>483833049</v>
      </c>
      <c r="BI13" s="1908">
        <v>468331942</v>
      </c>
      <c r="BJ13" s="1909">
        <v>464552293</v>
      </c>
      <c r="BK13" s="1909">
        <v>426488291</v>
      </c>
      <c r="BL13" s="1909">
        <v>414750025</v>
      </c>
      <c r="BM13" s="1906">
        <v>2494760836</v>
      </c>
      <c r="BN13" s="1909">
        <v>391958737</v>
      </c>
      <c r="BO13" s="1909">
        <v>425156647</v>
      </c>
      <c r="BP13" s="1909">
        <v>424380563</v>
      </c>
      <c r="BQ13" s="1909">
        <v>430973580</v>
      </c>
      <c r="BR13" s="1909">
        <v>418955248</v>
      </c>
      <c r="BS13" s="1910">
        <v>403336061</v>
      </c>
      <c r="BT13" s="1906">
        <v>2684868982</v>
      </c>
      <c r="BU13" s="1909">
        <v>429075811</v>
      </c>
      <c r="BV13" s="1911">
        <v>488203296</v>
      </c>
      <c r="BW13" s="1911">
        <v>469928470</v>
      </c>
      <c r="BX13" s="1911">
        <v>449003050</v>
      </c>
      <c r="BY13" s="1911">
        <v>439638330</v>
      </c>
      <c r="BZ13" s="1911">
        <v>409020025</v>
      </c>
      <c r="CA13" s="1911">
        <v>2555400176</v>
      </c>
      <c r="CB13" s="1911">
        <v>400956232</v>
      </c>
      <c r="CC13" s="1911">
        <v>439212645</v>
      </c>
      <c r="CD13" s="1911">
        <v>470065219</v>
      </c>
      <c r="CE13" s="1911">
        <v>442612035</v>
      </c>
      <c r="CF13" s="1911">
        <v>415813308</v>
      </c>
      <c r="CG13" s="1911">
        <v>386740737</v>
      </c>
      <c r="CH13" s="1372">
        <v>415422272</v>
      </c>
      <c r="CI13" s="1372">
        <v>496047625</v>
      </c>
      <c r="CJ13" s="1372">
        <v>480848988</v>
      </c>
      <c r="CK13" s="1372">
        <v>469919877</v>
      </c>
      <c r="CL13" s="1372">
        <v>435824617</v>
      </c>
      <c r="CM13" s="1372">
        <v>412575151</v>
      </c>
      <c r="CN13" s="1372">
        <v>2059940135</v>
      </c>
      <c r="CO13" s="1372">
        <v>433012141</v>
      </c>
      <c r="CP13" s="1370">
        <v>428751669</v>
      </c>
      <c r="CQ13" s="1370">
        <v>433632137</v>
      </c>
      <c r="CR13" s="1372">
        <v>459974022</v>
      </c>
      <c r="CS13" s="1371">
        <v>304570166</v>
      </c>
      <c r="CT13" s="1373">
        <v>0</v>
      </c>
      <c r="CU13" s="1373">
        <v>0</v>
      </c>
      <c r="CV13" s="1373">
        <v>0</v>
      </c>
      <c r="CW13" s="1373">
        <v>0</v>
      </c>
      <c r="CX13" s="1372">
        <v>0</v>
      </c>
      <c r="CY13" s="1353"/>
      <c r="CZ13" s="1361"/>
      <c r="DA13" s="1361"/>
      <c r="DB13" s="1361"/>
      <c r="DC13" s="1005"/>
    </row>
    <row r="14" spans="1:107" s="974" customFormat="1" ht="17.100000000000001" customHeight="1">
      <c r="B14" s="1887"/>
      <c r="C14" s="9" t="s">
        <v>840</v>
      </c>
      <c r="D14" s="1900">
        <v>85327290</v>
      </c>
      <c r="E14" s="913">
        <f t="shared" si="0"/>
        <v>0</v>
      </c>
      <c r="F14" s="913">
        <v>28442430</v>
      </c>
      <c r="G14" s="913">
        <v>28442430</v>
      </c>
      <c r="H14" s="913">
        <v>28442430</v>
      </c>
      <c r="I14" s="1900">
        <v>170654580</v>
      </c>
      <c r="J14" s="913">
        <v>28442430</v>
      </c>
      <c r="K14" s="913">
        <v>28442430</v>
      </c>
      <c r="L14" s="913">
        <v>28442430</v>
      </c>
      <c r="M14" s="913">
        <v>28442430</v>
      </c>
      <c r="N14" s="913">
        <v>28442430</v>
      </c>
      <c r="O14" s="913">
        <v>28442430</v>
      </c>
      <c r="P14" s="1900">
        <v>169162010</v>
      </c>
      <c r="Q14" s="913">
        <v>28357910</v>
      </c>
      <c r="R14" s="913">
        <v>28160820</v>
      </c>
      <c r="S14" s="913">
        <v>28160820</v>
      </c>
      <c r="T14" s="913">
        <v>28160820</v>
      </c>
      <c r="U14" s="913">
        <v>28160820</v>
      </c>
      <c r="V14" s="913">
        <v>28160820</v>
      </c>
      <c r="W14" s="1900">
        <v>168964920</v>
      </c>
      <c r="X14" s="913">
        <v>28160820</v>
      </c>
      <c r="Y14" s="913">
        <v>28160820</v>
      </c>
      <c r="Z14" s="913">
        <v>28160820</v>
      </c>
      <c r="AA14" s="913">
        <v>28160820</v>
      </c>
      <c r="AB14" s="913">
        <v>28160820</v>
      </c>
      <c r="AC14" s="913">
        <v>28160820</v>
      </c>
      <c r="AD14" s="1900">
        <v>167487174</v>
      </c>
      <c r="AE14" s="913">
        <v>28077174</v>
      </c>
      <c r="AF14" s="913">
        <v>27882000</v>
      </c>
      <c r="AG14" s="913">
        <v>27882000</v>
      </c>
      <c r="AH14" s="913">
        <v>27882000</v>
      </c>
      <c r="AI14" s="913">
        <v>27882000</v>
      </c>
      <c r="AJ14" s="913">
        <v>27882000</v>
      </c>
      <c r="AK14" s="1900">
        <v>167292000</v>
      </c>
      <c r="AL14" s="913">
        <v>27882000</v>
      </c>
      <c r="AM14" s="913">
        <v>27882000</v>
      </c>
      <c r="AN14" s="913">
        <v>27882000</v>
      </c>
      <c r="AO14" s="913">
        <v>27882000</v>
      </c>
      <c r="AP14" s="913">
        <v>27882000</v>
      </c>
      <c r="AQ14" s="913">
        <v>27882000</v>
      </c>
      <c r="AR14" s="1900">
        <v>151952500</v>
      </c>
      <c r="AS14" s="913">
        <v>26487500</v>
      </c>
      <c r="AT14" s="913">
        <v>25093000</v>
      </c>
      <c r="AU14" s="913">
        <v>25093000</v>
      </c>
      <c r="AV14" s="913">
        <v>25093000</v>
      </c>
      <c r="AW14" s="913">
        <v>25093000</v>
      </c>
      <c r="AX14" s="913">
        <v>25093000</v>
      </c>
      <c r="AY14" s="1900">
        <v>150558000</v>
      </c>
      <c r="AZ14" s="913">
        <v>25093000</v>
      </c>
      <c r="BA14" s="913">
        <v>25093000</v>
      </c>
      <c r="BB14" s="913">
        <v>25093000</v>
      </c>
      <c r="BC14" s="913">
        <v>25093000</v>
      </c>
      <c r="BD14" s="913">
        <v>25093000</v>
      </c>
      <c r="BE14" s="913">
        <v>25093000</v>
      </c>
      <c r="BF14" s="1900">
        <v>150558000</v>
      </c>
      <c r="BG14" s="1901">
        <v>25093000</v>
      </c>
      <c r="BH14" s="1901">
        <v>25093000</v>
      </c>
      <c r="BI14" s="1901">
        <v>25093000</v>
      </c>
      <c r="BJ14" s="1902">
        <v>25093000</v>
      </c>
      <c r="BK14" s="1902">
        <v>25093000</v>
      </c>
      <c r="BL14" s="1902">
        <v>25093000</v>
      </c>
      <c r="BM14" s="1900">
        <v>150558000</v>
      </c>
      <c r="BN14" s="1902">
        <v>25093000</v>
      </c>
      <c r="BO14" s="1902">
        <v>25093000</v>
      </c>
      <c r="BP14" s="1902">
        <v>25093000</v>
      </c>
      <c r="BQ14" s="1902">
        <v>25093000</v>
      </c>
      <c r="BR14" s="1902">
        <v>25093000</v>
      </c>
      <c r="BS14" s="1903">
        <v>25093000</v>
      </c>
      <c r="BT14" s="1900">
        <v>150558000</v>
      </c>
      <c r="BU14" s="1902">
        <v>25093000</v>
      </c>
      <c r="BV14" s="1904">
        <v>25093000</v>
      </c>
      <c r="BW14" s="1904">
        <v>25093000</v>
      </c>
      <c r="BX14" s="1904">
        <v>25093000</v>
      </c>
      <c r="BY14" s="1904">
        <v>25093000</v>
      </c>
      <c r="BZ14" s="1904">
        <v>25093000</v>
      </c>
      <c r="CA14" s="1905">
        <v>150558000</v>
      </c>
      <c r="CB14" s="1904">
        <v>25093000</v>
      </c>
      <c r="CC14" s="1904">
        <v>25093000</v>
      </c>
      <c r="CD14" s="1904">
        <v>25093000</v>
      </c>
      <c r="CE14" s="1904">
        <v>25093000</v>
      </c>
      <c r="CF14" s="1904">
        <v>25093000</v>
      </c>
      <c r="CG14" s="1904">
        <v>25093000</v>
      </c>
      <c r="CH14" s="1367">
        <v>25093000</v>
      </c>
      <c r="CI14" s="1367">
        <v>25093000</v>
      </c>
      <c r="CJ14" s="1367">
        <v>25093000</v>
      </c>
      <c r="CK14" s="1367">
        <v>25093000</v>
      </c>
      <c r="CL14" s="1367">
        <v>25093000</v>
      </c>
      <c r="CM14" s="1367">
        <v>25093000</v>
      </c>
      <c r="CN14" s="1368">
        <v>118773000</v>
      </c>
      <c r="CO14" s="1367">
        <v>25093000</v>
      </c>
      <c r="CP14" s="1366">
        <v>25093000</v>
      </c>
      <c r="CQ14" s="1366">
        <v>25093000</v>
      </c>
      <c r="CR14" s="1367">
        <v>25093000</v>
      </c>
      <c r="CS14" s="982">
        <v>18401000</v>
      </c>
      <c r="CT14" s="1369">
        <v>0</v>
      </c>
      <c r="CU14" s="1369">
        <v>0</v>
      </c>
      <c r="CV14" s="1369">
        <v>0</v>
      </c>
      <c r="CW14" s="1369">
        <v>0</v>
      </c>
      <c r="CX14" s="1367">
        <v>0</v>
      </c>
      <c r="CY14" s="1353"/>
      <c r="CZ14" s="1361"/>
      <c r="DA14" s="1361"/>
      <c r="DB14" s="1361"/>
      <c r="DC14" s="1005"/>
    </row>
    <row r="15" spans="1:107" s="974" customFormat="1" ht="17.100000000000001" customHeight="1">
      <c r="B15" s="1887"/>
      <c r="C15" s="9" t="s">
        <v>841</v>
      </c>
      <c r="D15" s="1900">
        <v>313720800</v>
      </c>
      <c r="E15" s="913">
        <f t="shared" si="0"/>
        <v>0</v>
      </c>
      <c r="F15" s="913">
        <v>103577700</v>
      </c>
      <c r="G15" s="913">
        <v>103577700</v>
      </c>
      <c r="H15" s="913">
        <v>106565400</v>
      </c>
      <c r="I15" s="1900">
        <v>603540000</v>
      </c>
      <c r="J15" s="913">
        <v>100590000</v>
      </c>
      <c r="K15" s="913">
        <v>100590000</v>
      </c>
      <c r="L15" s="913">
        <v>100590000</v>
      </c>
      <c r="M15" s="913">
        <v>100590000</v>
      </c>
      <c r="N15" s="913">
        <v>100590000</v>
      </c>
      <c r="O15" s="913">
        <v>100590000</v>
      </c>
      <c r="P15" s="1900">
        <v>603540000</v>
      </c>
      <c r="Q15" s="913">
        <v>100590000</v>
      </c>
      <c r="R15" s="913">
        <v>100590000</v>
      </c>
      <c r="S15" s="913">
        <v>100590000</v>
      </c>
      <c r="T15" s="913">
        <v>100590000</v>
      </c>
      <c r="U15" s="913">
        <v>100590000</v>
      </c>
      <c r="V15" s="913">
        <v>100590000</v>
      </c>
      <c r="W15" s="1900">
        <v>580015000</v>
      </c>
      <c r="X15" s="913">
        <v>100590000</v>
      </c>
      <c r="Y15" s="913">
        <v>95885000</v>
      </c>
      <c r="Z15" s="913">
        <v>95885000</v>
      </c>
      <c r="AA15" s="913">
        <v>95885000</v>
      </c>
      <c r="AB15" s="913">
        <v>95885000</v>
      </c>
      <c r="AC15" s="913">
        <v>95885000</v>
      </c>
      <c r="AD15" s="1900">
        <v>575310000</v>
      </c>
      <c r="AE15" s="913">
        <v>95885000</v>
      </c>
      <c r="AF15" s="913">
        <v>95885000</v>
      </c>
      <c r="AG15" s="913">
        <v>95885000</v>
      </c>
      <c r="AH15" s="913">
        <v>95885000</v>
      </c>
      <c r="AI15" s="913">
        <v>96885000</v>
      </c>
      <c r="AJ15" s="913">
        <v>94885000</v>
      </c>
      <c r="AK15" s="1900">
        <v>549360000</v>
      </c>
      <c r="AL15" s="913">
        <v>94885000</v>
      </c>
      <c r="AM15" s="913">
        <v>90895000</v>
      </c>
      <c r="AN15" s="913">
        <v>90895000</v>
      </c>
      <c r="AO15" s="913">
        <v>90895000</v>
      </c>
      <c r="AP15" s="913">
        <v>90895000</v>
      </c>
      <c r="AQ15" s="913">
        <v>90895000</v>
      </c>
      <c r="AR15" s="1900">
        <v>544693500</v>
      </c>
      <c r="AS15" s="913">
        <v>90833500</v>
      </c>
      <c r="AT15" s="913">
        <v>90772000</v>
      </c>
      <c r="AU15" s="913">
        <v>90772000</v>
      </c>
      <c r="AV15" s="913">
        <v>90772000</v>
      </c>
      <c r="AW15" s="913">
        <v>90772000</v>
      </c>
      <c r="AX15" s="913">
        <v>90772000</v>
      </c>
      <c r="AY15" s="1900">
        <v>533484000</v>
      </c>
      <c r="AZ15" s="913">
        <v>90772000</v>
      </c>
      <c r="BA15" s="913">
        <v>90772000</v>
      </c>
      <c r="BB15" s="913">
        <v>90772000</v>
      </c>
      <c r="BC15" s="913">
        <v>87056000</v>
      </c>
      <c r="BD15" s="913">
        <v>87056000</v>
      </c>
      <c r="BE15" s="913">
        <v>87056000</v>
      </c>
      <c r="BF15" s="1900">
        <v>522336000</v>
      </c>
      <c r="BG15" s="1901">
        <v>87056000</v>
      </c>
      <c r="BH15" s="1901">
        <v>87056000</v>
      </c>
      <c r="BI15" s="1901">
        <v>87056000</v>
      </c>
      <c r="BJ15" s="1902">
        <v>87056000</v>
      </c>
      <c r="BK15" s="1902">
        <v>87056000</v>
      </c>
      <c r="BL15" s="1902">
        <v>87056000</v>
      </c>
      <c r="BM15" s="1900">
        <v>498168000</v>
      </c>
      <c r="BN15" s="1902">
        <v>87056000</v>
      </c>
      <c r="BO15" s="1902">
        <v>87056000</v>
      </c>
      <c r="BP15" s="1902">
        <v>87056000</v>
      </c>
      <c r="BQ15" s="1902">
        <v>79000000</v>
      </c>
      <c r="BR15" s="1902">
        <v>79000000</v>
      </c>
      <c r="BS15" s="1903">
        <v>79000000</v>
      </c>
      <c r="BT15" s="1900">
        <v>472877419</v>
      </c>
      <c r="BU15" s="1902">
        <v>79000000</v>
      </c>
      <c r="BV15" s="1904">
        <v>79000000</v>
      </c>
      <c r="BW15" s="1904">
        <v>78777419</v>
      </c>
      <c r="BX15" s="1904">
        <v>78700000</v>
      </c>
      <c r="BY15" s="1904">
        <v>78700000</v>
      </c>
      <c r="BZ15" s="1904">
        <v>78700000</v>
      </c>
      <c r="CA15" s="1905">
        <v>453815000</v>
      </c>
      <c r="CB15" s="1904">
        <v>78700000</v>
      </c>
      <c r="CC15" s="1904">
        <v>78700000</v>
      </c>
      <c r="CD15" s="1904">
        <v>78700000</v>
      </c>
      <c r="CE15" s="1904">
        <v>72792500</v>
      </c>
      <c r="CF15" s="1904">
        <v>72130000</v>
      </c>
      <c r="CG15" s="1904">
        <v>72792500</v>
      </c>
      <c r="CH15" s="1367">
        <v>72130000</v>
      </c>
      <c r="CI15" s="1367">
        <v>72792500</v>
      </c>
      <c r="CJ15" s="1367">
        <v>71430000</v>
      </c>
      <c r="CK15" s="1367">
        <v>72092500</v>
      </c>
      <c r="CL15" s="1367">
        <v>71430000</v>
      </c>
      <c r="CM15" s="1367">
        <v>72092500</v>
      </c>
      <c r="CN15" s="1368">
        <v>342031500</v>
      </c>
      <c r="CO15" s="1367">
        <v>71430000</v>
      </c>
      <c r="CP15" s="1366">
        <v>72317500</v>
      </c>
      <c r="CQ15" s="1366">
        <v>71430000</v>
      </c>
      <c r="CR15" s="1367">
        <v>72706000</v>
      </c>
      <c r="CS15" s="982">
        <v>54148000</v>
      </c>
      <c r="CT15" s="1369">
        <v>0</v>
      </c>
      <c r="CU15" s="1369">
        <v>0</v>
      </c>
      <c r="CV15" s="1369">
        <v>0</v>
      </c>
      <c r="CW15" s="1369">
        <v>0</v>
      </c>
      <c r="CX15" s="1367">
        <v>0</v>
      </c>
      <c r="CZ15" s="1361"/>
      <c r="DA15" s="1361"/>
      <c r="DB15" s="1361"/>
      <c r="DC15" s="1005"/>
    </row>
    <row r="16" spans="1:107" s="974" customFormat="1" ht="17.100000000000001" customHeight="1">
      <c r="B16" s="1887"/>
      <c r="C16" s="9" t="s">
        <v>217</v>
      </c>
      <c r="D16" s="1900">
        <v>55778560</v>
      </c>
      <c r="E16" s="913">
        <f t="shared" si="0"/>
        <v>13944640</v>
      </c>
      <c r="F16" s="913">
        <v>13944640</v>
      </c>
      <c r="G16" s="913">
        <v>13944640</v>
      </c>
      <c r="H16" s="913">
        <v>13944640</v>
      </c>
      <c r="I16" s="1900">
        <v>83667840</v>
      </c>
      <c r="J16" s="913">
        <v>13944640</v>
      </c>
      <c r="K16" s="913">
        <v>13944640</v>
      </c>
      <c r="L16" s="913">
        <v>13944640</v>
      </c>
      <c r="M16" s="913">
        <v>13944640</v>
      </c>
      <c r="N16" s="913">
        <v>13944640</v>
      </c>
      <c r="O16" s="913">
        <v>13944640</v>
      </c>
      <c r="P16" s="1900">
        <v>83667840</v>
      </c>
      <c r="Q16" s="913">
        <v>13944640</v>
      </c>
      <c r="R16" s="913">
        <v>13944640</v>
      </c>
      <c r="S16" s="913">
        <v>13944640</v>
      </c>
      <c r="T16" s="913">
        <v>13944640</v>
      </c>
      <c r="U16" s="913">
        <v>13944640</v>
      </c>
      <c r="V16" s="913">
        <v>13944640</v>
      </c>
      <c r="W16" s="1900">
        <v>83667840</v>
      </c>
      <c r="X16" s="913">
        <v>13944640</v>
      </c>
      <c r="Y16" s="913">
        <v>13944640</v>
      </c>
      <c r="Z16" s="913">
        <v>13944640</v>
      </c>
      <c r="AA16" s="913">
        <v>13944640</v>
      </c>
      <c r="AB16" s="913">
        <v>13944640</v>
      </c>
      <c r="AC16" s="913">
        <v>13944640</v>
      </c>
      <c r="AD16" s="1900">
        <v>83667840</v>
      </c>
      <c r="AE16" s="913">
        <v>13944640</v>
      </c>
      <c r="AF16" s="913">
        <v>13944640</v>
      </c>
      <c r="AG16" s="913">
        <v>13944640</v>
      </c>
      <c r="AH16" s="913">
        <v>13944640</v>
      </c>
      <c r="AI16" s="913">
        <v>13944640</v>
      </c>
      <c r="AJ16" s="913">
        <v>13944640</v>
      </c>
      <c r="AK16" s="1900">
        <v>98650385</v>
      </c>
      <c r="AL16" s="913">
        <v>13944640</v>
      </c>
      <c r="AM16" s="913">
        <v>13944640</v>
      </c>
      <c r="AN16" s="913">
        <v>24127185</v>
      </c>
      <c r="AO16" s="913">
        <v>18744640</v>
      </c>
      <c r="AP16" s="913">
        <v>13944640</v>
      </c>
      <c r="AQ16" s="913">
        <v>13944640</v>
      </c>
      <c r="AR16" s="1900">
        <v>83667840</v>
      </c>
      <c r="AS16" s="913">
        <v>13944640</v>
      </c>
      <c r="AT16" s="913">
        <v>13944640</v>
      </c>
      <c r="AU16" s="913">
        <v>13944640</v>
      </c>
      <c r="AV16" s="913">
        <v>13944640</v>
      </c>
      <c r="AW16" s="913">
        <v>13944640</v>
      </c>
      <c r="AX16" s="913">
        <v>13944640</v>
      </c>
      <c r="AY16" s="1900">
        <v>83667840</v>
      </c>
      <c r="AZ16" s="913">
        <v>13944640</v>
      </c>
      <c r="BA16" s="913">
        <v>13944640</v>
      </c>
      <c r="BB16" s="913">
        <v>13944640</v>
      </c>
      <c r="BC16" s="913">
        <v>13944640</v>
      </c>
      <c r="BD16" s="913">
        <v>13944640</v>
      </c>
      <c r="BE16" s="913">
        <v>13944640</v>
      </c>
      <c r="BF16" s="1900">
        <v>83667840</v>
      </c>
      <c r="BG16" s="1901">
        <v>13944640</v>
      </c>
      <c r="BH16" s="1901">
        <v>13944640</v>
      </c>
      <c r="BI16" s="1901">
        <v>13944640</v>
      </c>
      <c r="BJ16" s="1902">
        <v>13944640</v>
      </c>
      <c r="BK16" s="1902">
        <v>13944640</v>
      </c>
      <c r="BL16" s="1902">
        <v>13944640</v>
      </c>
      <c r="BM16" s="1900">
        <v>83667840</v>
      </c>
      <c r="BN16" s="1902">
        <v>13944640</v>
      </c>
      <c r="BO16" s="1902">
        <v>13944640</v>
      </c>
      <c r="BP16" s="1902">
        <v>13944640</v>
      </c>
      <c r="BQ16" s="1902">
        <v>13944640</v>
      </c>
      <c r="BR16" s="1902">
        <v>13944640</v>
      </c>
      <c r="BS16" s="1903">
        <v>13944640</v>
      </c>
      <c r="BT16" s="1900">
        <v>83667840</v>
      </c>
      <c r="BU16" s="1902">
        <v>13944640</v>
      </c>
      <c r="BV16" s="1904">
        <v>13944640</v>
      </c>
      <c r="BW16" s="1904">
        <v>13944640</v>
      </c>
      <c r="BX16" s="1904">
        <v>13944640</v>
      </c>
      <c r="BY16" s="1904">
        <v>13944640</v>
      </c>
      <c r="BZ16" s="1904">
        <v>13944640</v>
      </c>
      <c r="CA16" s="1905">
        <v>83667840</v>
      </c>
      <c r="CB16" s="1904">
        <v>13944640</v>
      </c>
      <c r="CC16" s="1904">
        <v>13944640</v>
      </c>
      <c r="CD16" s="1904">
        <v>13944640</v>
      </c>
      <c r="CE16" s="1904">
        <v>13944640</v>
      </c>
      <c r="CF16" s="1904">
        <v>13944640</v>
      </c>
      <c r="CG16" s="1904">
        <v>13944640</v>
      </c>
      <c r="CH16" s="1367">
        <v>13944640</v>
      </c>
      <c r="CI16" s="1367">
        <v>13944640</v>
      </c>
      <c r="CJ16" s="1367">
        <v>13944640</v>
      </c>
      <c r="CK16" s="1367">
        <v>13944640</v>
      </c>
      <c r="CL16" s="1367">
        <v>13944640</v>
      </c>
      <c r="CM16" s="1367">
        <v>13944640</v>
      </c>
      <c r="CN16" s="1368">
        <v>63139669</v>
      </c>
      <c r="CO16" s="1367">
        <v>41833920</v>
      </c>
      <c r="CP16" s="1366">
        <v>0</v>
      </c>
      <c r="CQ16" s="1366">
        <v>0</v>
      </c>
      <c r="CR16" s="1367">
        <v>21305749</v>
      </c>
      <c r="CS16" s="982">
        <v>0</v>
      </c>
      <c r="CT16" s="1369">
        <v>0</v>
      </c>
      <c r="CU16" s="1369">
        <v>0</v>
      </c>
      <c r="CV16" s="1369">
        <v>0</v>
      </c>
      <c r="CW16" s="1369">
        <v>0</v>
      </c>
      <c r="CX16" s="1367">
        <v>0</v>
      </c>
      <c r="CY16" s="958"/>
      <c r="CZ16" s="1361"/>
      <c r="DA16" s="1361"/>
      <c r="DB16" s="1361"/>
      <c r="DC16" s="1005"/>
    </row>
    <row r="17" spans="2:107" s="974" customFormat="1" ht="17.100000000000001" customHeight="1">
      <c r="B17" s="1887"/>
      <c r="C17" s="9" t="s">
        <v>218</v>
      </c>
      <c r="D17" s="1900">
        <v>0</v>
      </c>
      <c r="E17" s="913">
        <f t="shared" si="0"/>
        <v>0</v>
      </c>
      <c r="F17" s="913">
        <v>0</v>
      </c>
      <c r="G17" s="913">
        <v>0</v>
      </c>
      <c r="H17" s="913">
        <v>0</v>
      </c>
      <c r="I17" s="1900">
        <v>0</v>
      </c>
      <c r="J17" s="913">
        <v>0</v>
      </c>
      <c r="K17" s="913">
        <v>0</v>
      </c>
      <c r="L17" s="913">
        <v>0</v>
      </c>
      <c r="M17" s="913">
        <v>0</v>
      </c>
      <c r="N17" s="913">
        <v>0</v>
      </c>
      <c r="O17" s="913">
        <v>0</v>
      </c>
      <c r="P17" s="1900">
        <v>0</v>
      </c>
      <c r="Q17" s="913">
        <v>0</v>
      </c>
      <c r="R17" s="913">
        <v>0</v>
      </c>
      <c r="S17" s="913">
        <v>0</v>
      </c>
      <c r="T17" s="913">
        <v>0</v>
      </c>
      <c r="U17" s="913">
        <v>0</v>
      </c>
      <c r="V17" s="913">
        <v>0</v>
      </c>
      <c r="W17" s="1900">
        <v>0</v>
      </c>
      <c r="X17" s="913">
        <v>0</v>
      </c>
      <c r="Y17" s="913">
        <v>0</v>
      </c>
      <c r="Z17" s="913">
        <v>0</v>
      </c>
      <c r="AA17" s="913">
        <v>0</v>
      </c>
      <c r="AB17" s="913">
        <v>0</v>
      </c>
      <c r="AC17" s="913">
        <v>0</v>
      </c>
      <c r="AD17" s="1900">
        <v>0</v>
      </c>
      <c r="AE17" s="913">
        <v>0</v>
      </c>
      <c r="AF17" s="913">
        <v>0</v>
      </c>
      <c r="AG17" s="913">
        <v>0</v>
      </c>
      <c r="AH17" s="913">
        <v>0</v>
      </c>
      <c r="AI17" s="913">
        <v>0</v>
      </c>
      <c r="AJ17" s="913">
        <v>0</v>
      </c>
      <c r="AK17" s="1900">
        <v>0</v>
      </c>
      <c r="AL17" s="913">
        <v>0</v>
      </c>
      <c r="AM17" s="913">
        <v>0</v>
      </c>
      <c r="AN17" s="913">
        <v>0</v>
      </c>
      <c r="AO17" s="913">
        <v>0</v>
      </c>
      <c r="AP17" s="913">
        <v>0</v>
      </c>
      <c r="AQ17" s="913">
        <v>0</v>
      </c>
      <c r="AR17" s="1900">
        <v>0</v>
      </c>
      <c r="AS17" s="913">
        <v>0</v>
      </c>
      <c r="AT17" s="913">
        <v>0</v>
      </c>
      <c r="AU17" s="913">
        <v>0</v>
      </c>
      <c r="AV17" s="913">
        <v>0</v>
      </c>
      <c r="AW17" s="913">
        <v>0</v>
      </c>
      <c r="AX17" s="913">
        <v>0</v>
      </c>
      <c r="AY17" s="1900">
        <v>0</v>
      </c>
      <c r="AZ17" s="913">
        <v>0</v>
      </c>
      <c r="BA17" s="913">
        <v>0</v>
      </c>
      <c r="BB17" s="913">
        <v>0</v>
      </c>
      <c r="BC17" s="913">
        <v>0</v>
      </c>
      <c r="BD17" s="913">
        <v>0</v>
      </c>
      <c r="BE17" s="913">
        <v>0</v>
      </c>
      <c r="BF17" s="1900">
        <v>0</v>
      </c>
      <c r="BG17" s="1901">
        <v>0</v>
      </c>
      <c r="BH17" s="1901">
        <v>0</v>
      </c>
      <c r="BI17" s="1901">
        <v>0</v>
      </c>
      <c r="BJ17" s="1902">
        <v>0</v>
      </c>
      <c r="BK17" s="1902">
        <v>0</v>
      </c>
      <c r="BL17" s="1902">
        <v>0</v>
      </c>
      <c r="BM17" s="1900">
        <v>0</v>
      </c>
      <c r="BN17" s="1902">
        <v>0</v>
      </c>
      <c r="BO17" s="1902">
        <v>0</v>
      </c>
      <c r="BP17" s="1902">
        <v>0</v>
      </c>
      <c r="BQ17" s="1902">
        <v>0</v>
      </c>
      <c r="BR17" s="1902">
        <v>0</v>
      </c>
      <c r="BS17" s="1903">
        <v>0</v>
      </c>
      <c r="BT17" s="1900">
        <v>0</v>
      </c>
      <c r="BU17" s="1902">
        <v>0</v>
      </c>
      <c r="BV17" s="1904">
        <v>0</v>
      </c>
      <c r="BW17" s="1904">
        <v>0</v>
      </c>
      <c r="BX17" s="1904">
        <v>0</v>
      </c>
      <c r="BY17" s="1904">
        <v>0</v>
      </c>
      <c r="BZ17" s="1904">
        <v>0</v>
      </c>
      <c r="CA17" s="1905">
        <v>0</v>
      </c>
      <c r="CB17" s="1904">
        <v>0</v>
      </c>
      <c r="CC17" s="1904">
        <v>0</v>
      </c>
      <c r="CD17" s="1904">
        <v>0</v>
      </c>
      <c r="CE17" s="1904">
        <v>0</v>
      </c>
      <c r="CF17" s="1904">
        <v>0</v>
      </c>
      <c r="CG17" s="1904">
        <v>0</v>
      </c>
      <c r="CH17" s="1367">
        <v>0</v>
      </c>
      <c r="CI17" s="1367">
        <v>0</v>
      </c>
      <c r="CJ17" s="1367">
        <v>0</v>
      </c>
      <c r="CK17" s="1367">
        <v>0</v>
      </c>
      <c r="CL17" s="1367">
        <v>0</v>
      </c>
      <c r="CM17" s="1367">
        <v>0</v>
      </c>
      <c r="CN17" s="1368">
        <v>0</v>
      </c>
      <c r="CO17" s="1367">
        <v>0</v>
      </c>
      <c r="CP17" s="1366">
        <v>0</v>
      </c>
      <c r="CQ17" s="1366">
        <v>0</v>
      </c>
      <c r="CR17" s="1367">
        <v>0</v>
      </c>
      <c r="CS17" s="982">
        <v>0</v>
      </c>
      <c r="CT17" s="1369"/>
      <c r="CU17" s="1369"/>
      <c r="CV17" s="1369"/>
      <c r="CW17" s="1369"/>
      <c r="CX17" s="1367"/>
      <c r="CY17" s="958"/>
      <c r="CZ17" s="1361"/>
      <c r="DA17" s="1361"/>
      <c r="DB17" s="1361"/>
      <c r="DC17" s="1005"/>
    </row>
    <row r="18" spans="2:107" s="974" customFormat="1" ht="17.100000000000001" customHeight="1">
      <c r="B18" s="1887"/>
      <c r="C18" s="9" t="s">
        <v>842</v>
      </c>
      <c r="D18" s="1900">
        <v>1490076096</v>
      </c>
      <c r="E18" s="913">
        <f t="shared" si="0"/>
        <v>413706309</v>
      </c>
      <c r="F18" s="913">
        <v>394312625</v>
      </c>
      <c r="G18" s="913">
        <v>359653729</v>
      </c>
      <c r="H18" s="913">
        <v>322403433</v>
      </c>
      <c r="I18" s="1900">
        <v>2074639855</v>
      </c>
      <c r="J18" s="913">
        <v>338346504</v>
      </c>
      <c r="K18" s="913">
        <v>343427388</v>
      </c>
      <c r="L18" s="913">
        <v>384093196</v>
      </c>
      <c r="M18" s="913">
        <v>364008035</v>
      </c>
      <c r="N18" s="913">
        <v>345633869</v>
      </c>
      <c r="O18" s="913">
        <v>299130863</v>
      </c>
      <c r="P18" s="1900">
        <v>2391632456</v>
      </c>
      <c r="Q18" s="913">
        <v>409223839</v>
      </c>
      <c r="R18" s="913">
        <v>437913442</v>
      </c>
      <c r="S18" s="913">
        <v>427131835</v>
      </c>
      <c r="T18" s="913">
        <v>394793914</v>
      </c>
      <c r="U18" s="913">
        <v>395101515</v>
      </c>
      <c r="V18" s="913">
        <v>327467911</v>
      </c>
      <c r="W18" s="1900">
        <v>2032383453</v>
      </c>
      <c r="X18" s="913">
        <v>329100100</v>
      </c>
      <c r="Y18" s="913">
        <v>353215063</v>
      </c>
      <c r="Z18" s="913">
        <v>377083029</v>
      </c>
      <c r="AA18" s="913">
        <v>378131231</v>
      </c>
      <c r="AB18" s="913">
        <v>308902745</v>
      </c>
      <c r="AC18" s="913">
        <v>285951285</v>
      </c>
      <c r="AD18" s="1900">
        <v>2038902083</v>
      </c>
      <c r="AE18" s="913">
        <v>317681957</v>
      </c>
      <c r="AF18" s="913">
        <v>402301593</v>
      </c>
      <c r="AG18" s="913">
        <v>370078207</v>
      </c>
      <c r="AH18" s="913">
        <v>340413354</v>
      </c>
      <c r="AI18" s="913">
        <v>325771639</v>
      </c>
      <c r="AJ18" s="913">
        <v>282655333</v>
      </c>
      <c r="AK18" s="1900">
        <v>1801057031</v>
      </c>
      <c r="AL18" s="913">
        <v>274325033</v>
      </c>
      <c r="AM18" s="913">
        <v>327044003</v>
      </c>
      <c r="AN18" s="913">
        <v>332287411</v>
      </c>
      <c r="AO18" s="913">
        <v>314785879</v>
      </c>
      <c r="AP18" s="913">
        <v>284490782</v>
      </c>
      <c r="AQ18" s="913">
        <v>268123923</v>
      </c>
      <c r="AR18" s="1900">
        <v>1880175219</v>
      </c>
      <c r="AS18" s="913">
        <v>289388161</v>
      </c>
      <c r="AT18" s="913">
        <v>341095074</v>
      </c>
      <c r="AU18" s="913">
        <v>347468753</v>
      </c>
      <c r="AV18" s="913">
        <v>329170625</v>
      </c>
      <c r="AW18" s="913">
        <v>291173499</v>
      </c>
      <c r="AX18" s="913">
        <v>281879107</v>
      </c>
      <c r="AY18" s="1900">
        <v>1745602313</v>
      </c>
      <c r="AZ18" s="913">
        <v>283248510</v>
      </c>
      <c r="BA18" s="913">
        <v>298805052</v>
      </c>
      <c r="BB18" s="913">
        <v>312331270</v>
      </c>
      <c r="BC18" s="913">
        <v>310038539</v>
      </c>
      <c r="BD18" s="913">
        <v>282043507</v>
      </c>
      <c r="BE18" s="913">
        <v>259135435</v>
      </c>
      <c r="BF18" s="1900">
        <v>1927410035</v>
      </c>
      <c r="BG18" s="1901">
        <v>299922635</v>
      </c>
      <c r="BH18" s="1901">
        <v>357739409</v>
      </c>
      <c r="BI18" s="1901">
        <v>342238302</v>
      </c>
      <c r="BJ18" s="1902">
        <v>338458653</v>
      </c>
      <c r="BK18" s="1902">
        <v>300394651</v>
      </c>
      <c r="BL18" s="1902">
        <v>288656385</v>
      </c>
      <c r="BM18" s="1900">
        <v>1762366996</v>
      </c>
      <c r="BN18" s="1902">
        <v>265865097</v>
      </c>
      <c r="BO18" s="1902">
        <v>299063007</v>
      </c>
      <c r="BP18" s="1902">
        <v>298286923</v>
      </c>
      <c r="BQ18" s="1902">
        <v>312935940</v>
      </c>
      <c r="BR18" s="1902">
        <v>300917608</v>
      </c>
      <c r="BS18" s="1903">
        <v>285298421</v>
      </c>
      <c r="BT18" s="1900">
        <v>1977765723</v>
      </c>
      <c r="BU18" s="1902">
        <v>311038171</v>
      </c>
      <c r="BV18" s="1904">
        <v>370165656</v>
      </c>
      <c r="BW18" s="1904">
        <v>352113411</v>
      </c>
      <c r="BX18" s="1904">
        <v>331265410</v>
      </c>
      <c r="BY18" s="1904">
        <v>321900690</v>
      </c>
      <c r="BZ18" s="1904">
        <v>291282385</v>
      </c>
      <c r="CA18" s="1905">
        <v>1867359336</v>
      </c>
      <c r="CB18" s="1904">
        <v>283218592</v>
      </c>
      <c r="CC18" s="1904">
        <v>321475005</v>
      </c>
      <c r="CD18" s="1904">
        <v>352327579</v>
      </c>
      <c r="CE18" s="1904">
        <v>330781895</v>
      </c>
      <c r="CF18" s="1904">
        <v>304645668</v>
      </c>
      <c r="CG18" s="1904">
        <v>274910597</v>
      </c>
      <c r="CH18" s="1367">
        <v>304254632</v>
      </c>
      <c r="CI18" s="1367">
        <v>384217485</v>
      </c>
      <c r="CJ18" s="1367">
        <v>370381348</v>
      </c>
      <c r="CK18" s="1367">
        <v>358789737</v>
      </c>
      <c r="CL18" s="1367">
        <v>325356977</v>
      </c>
      <c r="CM18" s="1367">
        <v>301445011</v>
      </c>
      <c r="CN18" s="1368">
        <v>1535995966</v>
      </c>
      <c r="CO18" s="1367">
        <v>294655221</v>
      </c>
      <c r="CP18" s="1366">
        <v>331341169</v>
      </c>
      <c r="CQ18" s="1366">
        <v>337109137</v>
      </c>
      <c r="CR18" s="1367">
        <v>340869273</v>
      </c>
      <c r="CS18" s="982">
        <v>232021166</v>
      </c>
      <c r="CT18" s="1369">
        <v>0</v>
      </c>
      <c r="CU18" s="1369">
        <v>0</v>
      </c>
      <c r="CV18" s="1369">
        <v>0</v>
      </c>
      <c r="CW18" s="1369">
        <v>0</v>
      </c>
      <c r="CX18" s="1367">
        <v>0</v>
      </c>
      <c r="CY18" s="958"/>
      <c r="CZ18" s="1361"/>
      <c r="DA18" s="1361"/>
      <c r="DB18" s="1361"/>
      <c r="DC18" s="1005"/>
    </row>
    <row r="19" spans="2:107" s="974" customFormat="1" ht="17.100000000000001" customHeight="1">
      <c r="B19" s="2767" t="s">
        <v>219</v>
      </c>
      <c r="C19" s="2768"/>
      <c r="D19" s="1912">
        <f>SUM(D20:D29)</f>
        <v>2210837037</v>
      </c>
      <c r="E19" s="916">
        <f t="shared" si="0"/>
        <v>549761071</v>
      </c>
      <c r="F19" s="916">
        <v>545358636</v>
      </c>
      <c r="G19" s="916">
        <v>569534495</v>
      </c>
      <c r="H19" s="916">
        <v>546182835</v>
      </c>
      <c r="I19" s="1912">
        <v>3798747451</v>
      </c>
      <c r="J19" s="916">
        <v>849918953</v>
      </c>
      <c r="K19" s="916">
        <v>546640296</v>
      </c>
      <c r="L19" s="916">
        <v>547910106</v>
      </c>
      <c r="M19" s="916">
        <v>564801950</v>
      </c>
      <c r="N19" s="916">
        <v>541209419</v>
      </c>
      <c r="O19" s="916">
        <v>748266727</v>
      </c>
      <c r="P19" s="1912">
        <v>3267552312</v>
      </c>
      <c r="Q19" s="916">
        <v>545775025</v>
      </c>
      <c r="R19" s="916">
        <v>543474777</v>
      </c>
      <c r="S19" s="916">
        <v>544465436</v>
      </c>
      <c r="T19" s="916">
        <v>544479261</v>
      </c>
      <c r="U19" s="916">
        <v>545136007</v>
      </c>
      <c r="V19" s="916">
        <v>544221806</v>
      </c>
      <c r="W19" s="1912">
        <v>3591384670</v>
      </c>
      <c r="X19" s="916">
        <v>848223983</v>
      </c>
      <c r="Y19" s="916">
        <v>540252786</v>
      </c>
      <c r="Z19" s="916">
        <v>541985190</v>
      </c>
      <c r="AA19" s="916">
        <v>559409926</v>
      </c>
      <c r="AB19" s="916">
        <v>547563625</v>
      </c>
      <c r="AC19" s="916">
        <v>553949160</v>
      </c>
      <c r="AD19" s="1912">
        <v>3267587418</v>
      </c>
      <c r="AE19" s="916">
        <v>547456664</v>
      </c>
      <c r="AF19" s="916">
        <v>567397820</v>
      </c>
      <c r="AG19" s="916">
        <v>540341235</v>
      </c>
      <c r="AH19" s="916">
        <v>536398484</v>
      </c>
      <c r="AI19" s="916">
        <v>536847398</v>
      </c>
      <c r="AJ19" s="916">
        <v>539145817</v>
      </c>
      <c r="AK19" s="1912">
        <v>3471393138</v>
      </c>
      <c r="AL19" s="916">
        <v>736299911</v>
      </c>
      <c r="AM19" s="916">
        <v>536725084</v>
      </c>
      <c r="AN19" s="916">
        <v>537012932</v>
      </c>
      <c r="AO19" s="916">
        <v>536266539</v>
      </c>
      <c r="AP19" s="916">
        <v>595500759</v>
      </c>
      <c r="AQ19" s="916">
        <v>529587913</v>
      </c>
      <c r="AR19" s="1912">
        <v>13736816330</v>
      </c>
      <c r="AS19" s="916">
        <v>11559241108</v>
      </c>
      <c r="AT19" s="916">
        <v>432168461</v>
      </c>
      <c r="AU19" s="916">
        <v>437465026</v>
      </c>
      <c r="AV19" s="916">
        <v>437778178</v>
      </c>
      <c r="AW19" s="916">
        <v>435063003</v>
      </c>
      <c r="AX19" s="916">
        <v>435100554</v>
      </c>
      <c r="AY19" s="1912">
        <v>2637281000</v>
      </c>
      <c r="AZ19" s="916">
        <v>412455074</v>
      </c>
      <c r="BA19" s="916">
        <v>435205102</v>
      </c>
      <c r="BB19" s="916">
        <v>438109278</v>
      </c>
      <c r="BC19" s="916">
        <v>440671388</v>
      </c>
      <c r="BD19" s="916">
        <v>465823560</v>
      </c>
      <c r="BE19" s="916">
        <v>445016598</v>
      </c>
      <c r="BF19" s="1912">
        <v>2616453811</v>
      </c>
      <c r="BG19" s="1913">
        <v>441060852</v>
      </c>
      <c r="BH19" s="1913">
        <v>438393096</v>
      </c>
      <c r="BI19" s="1913">
        <v>438521118</v>
      </c>
      <c r="BJ19" s="1914">
        <v>434192914</v>
      </c>
      <c r="BK19" s="1914">
        <v>432699976</v>
      </c>
      <c r="BL19" s="1914">
        <v>431585855</v>
      </c>
      <c r="BM19" s="1912">
        <v>2593183317</v>
      </c>
      <c r="BN19" s="1914">
        <v>432730204</v>
      </c>
      <c r="BO19" s="1914">
        <v>431438149</v>
      </c>
      <c r="BP19" s="1914">
        <v>433985218</v>
      </c>
      <c r="BQ19" s="1914">
        <v>426906031</v>
      </c>
      <c r="BR19" s="1914">
        <v>425440981</v>
      </c>
      <c r="BS19" s="1915">
        <v>442682734</v>
      </c>
      <c r="BT19" s="1912">
        <v>2577272230</v>
      </c>
      <c r="BU19" s="1914">
        <v>425296147</v>
      </c>
      <c r="BV19" s="1916">
        <v>422398131</v>
      </c>
      <c r="BW19" s="1916">
        <v>422704544</v>
      </c>
      <c r="BX19" s="1916">
        <v>436667053</v>
      </c>
      <c r="BY19" s="1916">
        <v>435487399</v>
      </c>
      <c r="BZ19" s="1916">
        <v>434718956</v>
      </c>
      <c r="CA19" s="1916">
        <v>2590241329</v>
      </c>
      <c r="CB19" s="1916">
        <v>434830459</v>
      </c>
      <c r="CC19" s="1916">
        <v>430142880</v>
      </c>
      <c r="CD19" s="1916">
        <v>430802785</v>
      </c>
      <c r="CE19" s="1916">
        <v>435242283</v>
      </c>
      <c r="CF19" s="1916">
        <v>433225612</v>
      </c>
      <c r="CG19" s="1916">
        <v>425997310</v>
      </c>
      <c r="CH19" s="1376">
        <v>425732920.0999999</v>
      </c>
      <c r="CI19" s="1376">
        <v>424656499.9000001</v>
      </c>
      <c r="CJ19" s="1376">
        <v>424423579.29999995</v>
      </c>
      <c r="CK19" s="1376">
        <v>420239703.70000005</v>
      </c>
      <c r="CL19" s="1376">
        <v>426301569</v>
      </c>
      <c r="CM19" s="1376">
        <v>418518587</v>
      </c>
      <c r="CN19" s="1376">
        <v>2023935522</v>
      </c>
      <c r="CO19" s="1376">
        <v>443444214</v>
      </c>
      <c r="CP19" s="1374">
        <v>395799515</v>
      </c>
      <c r="CQ19" s="1374">
        <v>409513499</v>
      </c>
      <c r="CR19" s="1376">
        <v>400350326</v>
      </c>
      <c r="CS19" s="1375">
        <v>374827968</v>
      </c>
      <c r="CT19" s="1377">
        <v>0</v>
      </c>
      <c r="CU19" s="1377">
        <v>0</v>
      </c>
      <c r="CV19" s="1377">
        <v>0</v>
      </c>
      <c r="CW19" s="1377">
        <v>0</v>
      </c>
      <c r="CX19" s="1376">
        <v>0</v>
      </c>
      <c r="CY19" s="1353"/>
      <c r="CZ19" s="1361"/>
      <c r="DA19" s="1361"/>
      <c r="DB19" s="1361"/>
      <c r="DC19" s="1005"/>
    </row>
    <row r="20" spans="2:107" s="974" customFormat="1" ht="17.100000000000001" customHeight="1">
      <c r="B20" s="1887"/>
      <c r="C20" s="9" t="s">
        <v>843</v>
      </c>
      <c r="D20" s="1900">
        <v>5600000</v>
      </c>
      <c r="E20" s="913">
        <f t="shared" si="0"/>
        <v>1400000</v>
      </c>
      <c r="F20" s="913">
        <v>1400000</v>
      </c>
      <c r="G20" s="913">
        <v>1400000</v>
      </c>
      <c r="H20" s="913">
        <v>1400000</v>
      </c>
      <c r="I20" s="1900">
        <v>8400000</v>
      </c>
      <c r="J20" s="913">
        <v>1400000</v>
      </c>
      <c r="K20" s="913">
        <v>1400000</v>
      </c>
      <c r="L20" s="913">
        <v>1400000</v>
      </c>
      <c r="M20" s="913">
        <v>1400000</v>
      </c>
      <c r="N20" s="913">
        <v>1400000</v>
      </c>
      <c r="O20" s="913">
        <v>1400000</v>
      </c>
      <c r="P20" s="1900">
        <v>8400000</v>
      </c>
      <c r="Q20" s="913">
        <v>1400000</v>
      </c>
      <c r="R20" s="913">
        <v>1400000</v>
      </c>
      <c r="S20" s="913">
        <v>1400000</v>
      </c>
      <c r="T20" s="913">
        <v>1400000</v>
      </c>
      <c r="U20" s="913">
        <v>1400000</v>
      </c>
      <c r="V20" s="913">
        <v>1400000</v>
      </c>
      <c r="W20" s="1900">
        <v>8400000</v>
      </c>
      <c r="X20" s="913">
        <v>1400000</v>
      </c>
      <c r="Y20" s="913">
        <v>1400000</v>
      </c>
      <c r="Z20" s="913">
        <v>1400000</v>
      </c>
      <c r="AA20" s="913">
        <v>1400000</v>
      </c>
      <c r="AB20" s="913">
        <v>1400000</v>
      </c>
      <c r="AC20" s="913">
        <v>1400000</v>
      </c>
      <c r="AD20" s="1900">
        <v>8400000</v>
      </c>
      <c r="AE20" s="913">
        <v>1400000</v>
      </c>
      <c r="AF20" s="913">
        <v>1400000</v>
      </c>
      <c r="AG20" s="913">
        <v>1400000</v>
      </c>
      <c r="AH20" s="913">
        <v>1400000</v>
      </c>
      <c r="AI20" s="913">
        <v>1400000</v>
      </c>
      <c r="AJ20" s="913">
        <v>1400000</v>
      </c>
      <c r="AK20" s="1900">
        <v>8082624</v>
      </c>
      <c r="AL20" s="913">
        <v>1400000</v>
      </c>
      <c r="AM20" s="913">
        <v>1400000</v>
      </c>
      <c r="AN20" s="913">
        <v>1400000</v>
      </c>
      <c r="AO20" s="913">
        <v>1400000</v>
      </c>
      <c r="AP20" s="913">
        <v>1400000</v>
      </c>
      <c r="AQ20" s="913">
        <v>1082624</v>
      </c>
      <c r="AR20" s="1900">
        <v>3000000</v>
      </c>
      <c r="AS20" s="913">
        <v>1500000</v>
      </c>
      <c r="AT20" s="913">
        <v>0</v>
      </c>
      <c r="AU20" s="913">
        <v>0</v>
      </c>
      <c r="AV20" s="913">
        <v>1500000</v>
      </c>
      <c r="AW20" s="913">
        <v>0</v>
      </c>
      <c r="AX20" s="913">
        <v>0</v>
      </c>
      <c r="AY20" s="1900">
        <v>3000000</v>
      </c>
      <c r="AZ20" s="913">
        <v>1500000</v>
      </c>
      <c r="BA20" s="913">
        <v>0</v>
      </c>
      <c r="BB20" s="913">
        <v>1500000</v>
      </c>
      <c r="BC20" s="913">
        <v>0</v>
      </c>
      <c r="BD20" s="913">
        <v>0</v>
      </c>
      <c r="BE20" s="913">
        <v>0</v>
      </c>
      <c r="BF20" s="1900">
        <v>3000000</v>
      </c>
      <c r="BG20" s="1901">
        <v>1500000</v>
      </c>
      <c r="BH20" s="1901">
        <v>0</v>
      </c>
      <c r="BI20" s="1901">
        <v>0</v>
      </c>
      <c r="BJ20" s="1902">
        <v>1500000</v>
      </c>
      <c r="BK20" s="1902">
        <v>0</v>
      </c>
      <c r="BL20" s="1902">
        <v>0</v>
      </c>
      <c r="BM20" s="1900">
        <v>3000000</v>
      </c>
      <c r="BN20" s="1902">
        <v>1500000</v>
      </c>
      <c r="BO20" s="1902">
        <v>0</v>
      </c>
      <c r="BP20" s="1902">
        <v>1500000</v>
      </c>
      <c r="BQ20" s="1902">
        <v>0</v>
      </c>
      <c r="BR20" s="1902">
        <v>0</v>
      </c>
      <c r="BS20" s="1903">
        <v>0</v>
      </c>
      <c r="BT20" s="1900">
        <v>3000000</v>
      </c>
      <c r="BU20" s="1902">
        <v>1500000</v>
      </c>
      <c r="BV20" s="1904">
        <v>0</v>
      </c>
      <c r="BW20" s="1904">
        <v>0</v>
      </c>
      <c r="BX20" s="1904">
        <v>1500000</v>
      </c>
      <c r="BY20" s="1904">
        <v>0</v>
      </c>
      <c r="BZ20" s="1904">
        <v>0</v>
      </c>
      <c r="CA20" s="1905">
        <v>3000000</v>
      </c>
      <c r="CB20" s="1904">
        <v>1500000</v>
      </c>
      <c r="CC20" s="1904">
        <v>0</v>
      </c>
      <c r="CD20" s="1904">
        <v>0</v>
      </c>
      <c r="CE20" s="1904">
        <v>1500000</v>
      </c>
      <c r="CF20" s="1904">
        <v>0</v>
      </c>
      <c r="CG20" s="1904">
        <v>0</v>
      </c>
      <c r="CH20" s="1367">
        <v>1500000</v>
      </c>
      <c r="CI20" s="1367">
        <v>0</v>
      </c>
      <c r="CJ20" s="1367">
        <v>0</v>
      </c>
      <c r="CK20" s="1367">
        <v>1500000</v>
      </c>
      <c r="CL20" s="1367">
        <v>0</v>
      </c>
      <c r="CM20" s="1367">
        <v>0</v>
      </c>
      <c r="CN20" s="1368">
        <v>3000000</v>
      </c>
      <c r="CO20" s="1367">
        <v>1500000</v>
      </c>
      <c r="CP20" s="1366">
        <v>0</v>
      </c>
      <c r="CQ20" s="1366">
        <v>0</v>
      </c>
      <c r="CR20" s="1367">
        <v>1500000</v>
      </c>
      <c r="CS20" s="982">
        <v>0</v>
      </c>
      <c r="CT20" s="1369">
        <v>0</v>
      </c>
      <c r="CU20" s="1369">
        <v>0</v>
      </c>
      <c r="CV20" s="1369">
        <v>0</v>
      </c>
      <c r="CW20" s="1369">
        <v>0</v>
      </c>
      <c r="CX20" s="1367">
        <v>0</v>
      </c>
      <c r="CY20" s="958"/>
      <c r="CZ20" s="1378"/>
      <c r="DA20" s="1361"/>
      <c r="DB20" s="1361"/>
      <c r="DC20" s="1005"/>
    </row>
    <row r="21" spans="2:107" s="1379" customFormat="1" ht="17.100000000000001" customHeight="1">
      <c r="B21" s="1888"/>
      <c r="C21" s="59" t="s">
        <v>844</v>
      </c>
      <c r="D21" s="1917">
        <v>1734233136</v>
      </c>
      <c r="E21" s="118">
        <f t="shared" si="0"/>
        <v>433558284</v>
      </c>
      <c r="F21" s="118">
        <v>433558284</v>
      </c>
      <c r="G21" s="118">
        <v>433558284</v>
      </c>
      <c r="H21" s="118">
        <v>433558284</v>
      </c>
      <c r="I21" s="1917">
        <v>2601991854</v>
      </c>
      <c r="J21" s="118">
        <v>433558284</v>
      </c>
      <c r="K21" s="118">
        <v>433686714</v>
      </c>
      <c r="L21" s="118">
        <v>433686714</v>
      </c>
      <c r="M21" s="118">
        <v>433686714</v>
      </c>
      <c r="N21" s="118">
        <v>433686714</v>
      </c>
      <c r="O21" s="118">
        <v>433686714</v>
      </c>
      <c r="P21" s="1917">
        <v>2601822666</v>
      </c>
      <c r="Q21" s="118">
        <v>433686714</v>
      </c>
      <c r="R21" s="118">
        <v>433686714</v>
      </c>
      <c r="S21" s="118">
        <v>433686714</v>
      </c>
      <c r="T21" s="118">
        <v>433686714</v>
      </c>
      <c r="U21" s="118">
        <v>433537905</v>
      </c>
      <c r="V21" s="118">
        <v>433537905</v>
      </c>
      <c r="W21" s="1917">
        <v>2601227430</v>
      </c>
      <c r="X21" s="118">
        <v>433537905</v>
      </c>
      <c r="Y21" s="118">
        <v>433537905</v>
      </c>
      <c r="Z21" s="118">
        <v>433537905</v>
      </c>
      <c r="AA21" s="118">
        <v>433537905</v>
      </c>
      <c r="AB21" s="118">
        <v>433537905</v>
      </c>
      <c r="AC21" s="118">
        <v>433537905</v>
      </c>
      <c r="AD21" s="1917">
        <v>2601227430</v>
      </c>
      <c r="AE21" s="118">
        <v>433537905</v>
      </c>
      <c r="AF21" s="118">
        <v>433537905</v>
      </c>
      <c r="AG21" s="118">
        <v>433537905</v>
      </c>
      <c r="AH21" s="118">
        <v>433537905</v>
      </c>
      <c r="AI21" s="118">
        <v>433537905</v>
      </c>
      <c r="AJ21" s="118">
        <v>433537905</v>
      </c>
      <c r="AK21" s="1917">
        <v>2601227430</v>
      </c>
      <c r="AL21" s="118">
        <v>433537905</v>
      </c>
      <c r="AM21" s="118">
        <v>433537905</v>
      </c>
      <c r="AN21" s="118">
        <v>433537905</v>
      </c>
      <c r="AO21" s="118">
        <v>433537905</v>
      </c>
      <c r="AP21" s="118">
        <v>433537905</v>
      </c>
      <c r="AQ21" s="118">
        <v>433537905</v>
      </c>
      <c r="AR21" s="1917">
        <v>1951806097</v>
      </c>
      <c r="AS21" s="118">
        <v>378099497</v>
      </c>
      <c r="AT21" s="118">
        <v>314741320</v>
      </c>
      <c r="AU21" s="118">
        <v>314741320</v>
      </c>
      <c r="AV21" s="118">
        <v>314741320</v>
      </c>
      <c r="AW21" s="118">
        <v>314741320</v>
      </c>
      <c r="AX21" s="118">
        <v>314741320</v>
      </c>
      <c r="AY21" s="1917">
        <v>1888447920</v>
      </c>
      <c r="AZ21" s="118">
        <v>314741320</v>
      </c>
      <c r="BA21" s="118">
        <v>314741320</v>
      </c>
      <c r="BB21" s="118">
        <v>314741320</v>
      </c>
      <c r="BC21" s="118">
        <v>314741320</v>
      </c>
      <c r="BD21" s="118">
        <v>314741320</v>
      </c>
      <c r="BE21" s="118">
        <v>314741320</v>
      </c>
      <c r="BF21" s="1917">
        <v>1888447920</v>
      </c>
      <c r="BG21" s="1918">
        <v>314741320</v>
      </c>
      <c r="BH21" s="1918">
        <v>314741320</v>
      </c>
      <c r="BI21" s="1918">
        <v>314741320</v>
      </c>
      <c r="BJ21" s="1919">
        <v>314741320</v>
      </c>
      <c r="BK21" s="1919">
        <v>314741320</v>
      </c>
      <c r="BL21" s="1919">
        <v>314741320</v>
      </c>
      <c r="BM21" s="1917">
        <v>1888447920</v>
      </c>
      <c r="BN21" s="1919">
        <v>314741320</v>
      </c>
      <c r="BO21" s="1919">
        <v>314741320</v>
      </c>
      <c r="BP21" s="1919">
        <v>314741320</v>
      </c>
      <c r="BQ21" s="1919">
        <v>314741320</v>
      </c>
      <c r="BR21" s="1919">
        <v>314741320</v>
      </c>
      <c r="BS21" s="1920">
        <v>314741320</v>
      </c>
      <c r="BT21" s="1917">
        <v>1888447920</v>
      </c>
      <c r="BU21" s="1919">
        <v>314741320</v>
      </c>
      <c r="BV21" s="1921">
        <v>314741320</v>
      </c>
      <c r="BW21" s="1921">
        <v>314741320</v>
      </c>
      <c r="BX21" s="1921">
        <v>314741320</v>
      </c>
      <c r="BY21" s="1921">
        <v>314741320</v>
      </c>
      <c r="BZ21" s="1921">
        <v>314741320</v>
      </c>
      <c r="CA21" s="1922">
        <v>1888447920</v>
      </c>
      <c r="CB21" s="1921">
        <v>314741320</v>
      </c>
      <c r="CC21" s="1921">
        <v>314741320</v>
      </c>
      <c r="CD21" s="1921">
        <v>314741320</v>
      </c>
      <c r="CE21" s="1921">
        <v>314741320</v>
      </c>
      <c r="CF21" s="1921">
        <v>314741320</v>
      </c>
      <c r="CG21" s="1921">
        <v>314741320</v>
      </c>
      <c r="CH21" s="1381">
        <v>314741320</v>
      </c>
      <c r="CI21" s="1381">
        <v>314741320</v>
      </c>
      <c r="CJ21" s="1381">
        <v>314741320</v>
      </c>
      <c r="CK21" s="1381">
        <v>314741320</v>
      </c>
      <c r="CL21" s="1381">
        <v>314741320</v>
      </c>
      <c r="CM21" s="1381">
        <v>314741320</v>
      </c>
      <c r="CN21" s="1382">
        <v>1573706600</v>
      </c>
      <c r="CO21" s="1381">
        <v>314727076</v>
      </c>
      <c r="CP21" s="1380">
        <v>314744881</v>
      </c>
      <c r="CQ21" s="1380">
        <v>314744881</v>
      </c>
      <c r="CR21" s="1381">
        <v>314744881</v>
      </c>
      <c r="CS21" s="1383">
        <v>314744881</v>
      </c>
      <c r="CT21" s="1384">
        <v>0</v>
      </c>
      <c r="CU21" s="1384">
        <v>0</v>
      </c>
      <c r="CV21" s="1384">
        <v>0</v>
      </c>
      <c r="CW21" s="1384">
        <v>0</v>
      </c>
      <c r="CX21" s="1381">
        <v>0</v>
      </c>
      <c r="CY21" s="1385"/>
      <c r="CZ21" s="1361"/>
      <c r="DA21" s="1361"/>
      <c r="DB21" s="1361"/>
      <c r="DC21" s="1005"/>
    </row>
    <row r="22" spans="2:107" s="974" customFormat="1" ht="17.100000000000001" customHeight="1">
      <c r="B22" s="1887"/>
      <c r="C22" s="9" t="s">
        <v>220</v>
      </c>
      <c r="D22" s="1900">
        <v>9700586</v>
      </c>
      <c r="E22" s="913">
        <f t="shared" si="0"/>
        <v>2464903</v>
      </c>
      <c r="F22" s="913">
        <v>2385390</v>
      </c>
      <c r="G22" s="913">
        <v>2464903</v>
      </c>
      <c r="H22" s="913">
        <v>2385390</v>
      </c>
      <c r="I22" s="1900">
        <v>14284605</v>
      </c>
      <c r="J22" s="913">
        <v>2544416</v>
      </c>
      <c r="K22" s="913">
        <v>2226364</v>
      </c>
      <c r="L22" s="913">
        <v>2464903</v>
      </c>
      <c r="M22" s="913">
        <v>2464903</v>
      </c>
      <c r="N22" s="913">
        <v>2330766</v>
      </c>
      <c r="O22" s="913">
        <v>2253253</v>
      </c>
      <c r="P22" s="1900">
        <v>13301460</v>
      </c>
      <c r="Q22" s="913">
        <v>2180567</v>
      </c>
      <c r="R22" s="913">
        <v>2253253</v>
      </c>
      <c r="S22" s="913">
        <v>2253253</v>
      </c>
      <c r="T22" s="913">
        <v>2180567</v>
      </c>
      <c r="U22" s="913">
        <v>2253253</v>
      </c>
      <c r="V22" s="913">
        <v>2180567</v>
      </c>
      <c r="W22" s="1900">
        <v>13236507</v>
      </c>
      <c r="X22" s="913">
        <v>2253253</v>
      </c>
      <c r="Y22" s="913">
        <v>2035196</v>
      </c>
      <c r="Z22" s="913">
        <v>2253253</v>
      </c>
      <c r="AA22" s="913">
        <v>2253253</v>
      </c>
      <c r="AB22" s="913">
        <v>2182152</v>
      </c>
      <c r="AC22" s="913">
        <v>2259400</v>
      </c>
      <c r="AD22" s="1900">
        <v>13337748</v>
      </c>
      <c r="AE22" s="913">
        <v>2186516</v>
      </c>
      <c r="AF22" s="913">
        <v>2259400</v>
      </c>
      <c r="AG22" s="913">
        <v>2259400</v>
      </c>
      <c r="AH22" s="913">
        <v>2186516</v>
      </c>
      <c r="AI22" s="913">
        <v>2259400</v>
      </c>
      <c r="AJ22" s="913">
        <v>2186516</v>
      </c>
      <c r="AK22" s="1900">
        <v>14165752</v>
      </c>
      <c r="AL22" s="913">
        <v>2259400</v>
      </c>
      <c r="AM22" s="913">
        <v>2040748</v>
      </c>
      <c r="AN22" s="913">
        <v>2259400</v>
      </c>
      <c r="AO22" s="913">
        <v>2259400</v>
      </c>
      <c r="AP22" s="913">
        <v>2371312</v>
      </c>
      <c r="AQ22" s="913">
        <v>2975492</v>
      </c>
      <c r="AR22" s="1900">
        <v>15486266</v>
      </c>
      <c r="AS22" s="913">
        <v>2705243</v>
      </c>
      <c r="AT22" s="913">
        <v>2589619</v>
      </c>
      <c r="AU22" s="913">
        <v>2589619</v>
      </c>
      <c r="AV22" s="913">
        <v>2506083</v>
      </c>
      <c r="AW22" s="913">
        <v>2589619</v>
      </c>
      <c r="AX22" s="913">
        <v>2506083</v>
      </c>
      <c r="AY22" s="1900">
        <v>15205674</v>
      </c>
      <c r="AZ22" s="913">
        <v>2589619</v>
      </c>
      <c r="BA22" s="913">
        <v>2339011</v>
      </c>
      <c r="BB22" s="913">
        <v>2589619</v>
      </c>
      <c r="BC22" s="913">
        <v>2589619</v>
      </c>
      <c r="BD22" s="913">
        <v>2506518</v>
      </c>
      <c r="BE22" s="913">
        <v>2591288</v>
      </c>
      <c r="BF22" s="1900">
        <v>15296958</v>
      </c>
      <c r="BG22" s="1901">
        <v>2507698</v>
      </c>
      <c r="BH22" s="1901">
        <v>2591288</v>
      </c>
      <c r="BI22" s="1901">
        <v>2591288</v>
      </c>
      <c r="BJ22" s="1902">
        <v>2507698</v>
      </c>
      <c r="BK22" s="1902">
        <v>2591288</v>
      </c>
      <c r="BL22" s="1902">
        <v>2507698</v>
      </c>
      <c r="BM22" s="1900">
        <v>16110051</v>
      </c>
      <c r="BN22" s="1902">
        <v>2591288</v>
      </c>
      <c r="BO22" s="1902">
        <v>2424108</v>
      </c>
      <c r="BP22" s="1902">
        <v>2591288</v>
      </c>
      <c r="BQ22" s="1902">
        <v>2591288</v>
      </c>
      <c r="BR22" s="1902">
        <v>2674486</v>
      </c>
      <c r="BS22" s="1903">
        <v>3237593</v>
      </c>
      <c r="BT22" s="1900">
        <v>19112241</v>
      </c>
      <c r="BU22" s="1902">
        <v>3133154</v>
      </c>
      <c r="BV22" s="1904">
        <v>3237593</v>
      </c>
      <c r="BW22" s="1904">
        <v>3237593</v>
      </c>
      <c r="BX22" s="1904">
        <v>3133154</v>
      </c>
      <c r="BY22" s="1904">
        <v>3237593</v>
      </c>
      <c r="BZ22" s="1904">
        <v>3133154</v>
      </c>
      <c r="CA22" s="1905">
        <v>20176767</v>
      </c>
      <c r="CB22" s="1904">
        <v>3237593</v>
      </c>
      <c r="CC22" s="1904">
        <v>2924277</v>
      </c>
      <c r="CD22" s="1904">
        <v>3237593</v>
      </c>
      <c r="CE22" s="1904">
        <v>3237593</v>
      </c>
      <c r="CF22" s="1904">
        <v>3372940</v>
      </c>
      <c r="CG22" s="1904">
        <v>4166771</v>
      </c>
      <c r="CH22" s="1367">
        <v>4032359</v>
      </c>
      <c r="CI22" s="1367">
        <v>4166771</v>
      </c>
      <c r="CJ22" s="1367">
        <v>4166771</v>
      </c>
      <c r="CK22" s="1367">
        <v>4032359</v>
      </c>
      <c r="CL22" s="1367">
        <v>4166771</v>
      </c>
      <c r="CM22" s="1367">
        <v>4032359</v>
      </c>
      <c r="CN22" s="1368">
        <v>19220911</v>
      </c>
      <c r="CO22" s="1367">
        <v>4166771</v>
      </c>
      <c r="CP22" s="1366">
        <v>3763535</v>
      </c>
      <c r="CQ22" s="1366">
        <v>4166771</v>
      </c>
      <c r="CR22" s="1367">
        <v>4166771</v>
      </c>
      <c r="CS22" s="982">
        <v>2957063</v>
      </c>
      <c r="CT22" s="1369">
        <v>0</v>
      </c>
      <c r="CU22" s="1369">
        <v>0</v>
      </c>
      <c r="CV22" s="1369">
        <v>0</v>
      </c>
      <c r="CW22" s="1369">
        <v>0</v>
      </c>
      <c r="CX22" s="1367">
        <v>0</v>
      </c>
      <c r="CY22" s="1353"/>
      <c r="CZ22" s="1361"/>
      <c r="DA22" s="1361"/>
      <c r="DB22" s="1361"/>
      <c r="DC22" s="1005"/>
    </row>
    <row r="23" spans="2:107" s="974" customFormat="1" ht="17.100000000000001" customHeight="1">
      <c r="B23" s="1887"/>
      <c r="C23" s="9" t="s">
        <v>846</v>
      </c>
      <c r="D23" s="1900">
        <v>66666668</v>
      </c>
      <c r="E23" s="913">
        <f t="shared" si="0"/>
        <v>16666667</v>
      </c>
      <c r="F23" s="913">
        <v>16666667</v>
      </c>
      <c r="G23" s="913">
        <v>16666667</v>
      </c>
      <c r="H23" s="913">
        <v>16666667</v>
      </c>
      <c r="I23" s="1900">
        <v>600000000</v>
      </c>
      <c r="J23" s="913">
        <v>316666665</v>
      </c>
      <c r="K23" s="913">
        <v>16666667</v>
      </c>
      <c r="L23" s="913">
        <v>16666667</v>
      </c>
      <c r="M23" s="913">
        <v>16666667</v>
      </c>
      <c r="N23" s="913">
        <v>16666667</v>
      </c>
      <c r="O23" s="913">
        <v>216666667</v>
      </c>
      <c r="P23" s="1900">
        <v>100000000</v>
      </c>
      <c r="Q23" s="913">
        <v>16666665</v>
      </c>
      <c r="R23" s="913">
        <v>16666667</v>
      </c>
      <c r="S23" s="913">
        <v>16666667</v>
      </c>
      <c r="T23" s="913">
        <v>16666667</v>
      </c>
      <c r="U23" s="913">
        <v>16666667</v>
      </c>
      <c r="V23" s="913">
        <v>16666667</v>
      </c>
      <c r="W23" s="1900">
        <v>400000000</v>
      </c>
      <c r="X23" s="913">
        <v>316666665</v>
      </c>
      <c r="Y23" s="913">
        <v>16666667</v>
      </c>
      <c r="Z23" s="913">
        <v>16666667</v>
      </c>
      <c r="AA23" s="913">
        <v>16666667</v>
      </c>
      <c r="AB23" s="913">
        <v>16666667</v>
      </c>
      <c r="AC23" s="913">
        <v>16666667</v>
      </c>
      <c r="AD23" s="1900">
        <v>100000000</v>
      </c>
      <c r="AE23" s="913">
        <v>16666665</v>
      </c>
      <c r="AF23" s="913">
        <v>16666667</v>
      </c>
      <c r="AG23" s="913">
        <v>16666667</v>
      </c>
      <c r="AH23" s="913">
        <v>16666667</v>
      </c>
      <c r="AI23" s="913">
        <v>16666667</v>
      </c>
      <c r="AJ23" s="913">
        <v>16666667</v>
      </c>
      <c r="AK23" s="1900">
        <v>300000000</v>
      </c>
      <c r="AL23" s="913">
        <v>216666665</v>
      </c>
      <c r="AM23" s="913">
        <v>16666667</v>
      </c>
      <c r="AN23" s="913">
        <v>16666667</v>
      </c>
      <c r="AO23" s="913">
        <v>16666667</v>
      </c>
      <c r="AP23" s="913">
        <v>16666667</v>
      </c>
      <c r="AQ23" s="913">
        <v>16666667</v>
      </c>
      <c r="AR23" s="1900">
        <v>240277777</v>
      </c>
      <c r="AS23" s="913">
        <v>31944445</v>
      </c>
      <c r="AT23" s="913">
        <v>41666666</v>
      </c>
      <c r="AU23" s="913">
        <v>41666666</v>
      </c>
      <c r="AV23" s="913">
        <v>41666666</v>
      </c>
      <c r="AW23" s="913">
        <v>41666666</v>
      </c>
      <c r="AX23" s="913">
        <v>41666668</v>
      </c>
      <c r="AY23" s="1900">
        <v>250000000</v>
      </c>
      <c r="AZ23" s="913">
        <v>41666668</v>
      </c>
      <c r="BA23" s="913">
        <v>41666666</v>
      </c>
      <c r="BB23" s="913">
        <v>41666666</v>
      </c>
      <c r="BC23" s="913">
        <v>41666668</v>
      </c>
      <c r="BD23" s="913">
        <v>41666666</v>
      </c>
      <c r="BE23" s="913">
        <v>41666666</v>
      </c>
      <c r="BF23" s="1900">
        <v>250000000</v>
      </c>
      <c r="BG23" s="1901">
        <v>41666668</v>
      </c>
      <c r="BH23" s="1901">
        <v>41666666</v>
      </c>
      <c r="BI23" s="1901">
        <v>41666666</v>
      </c>
      <c r="BJ23" s="1902">
        <v>41666666</v>
      </c>
      <c r="BK23" s="1902">
        <v>41666666</v>
      </c>
      <c r="BL23" s="1902">
        <v>41666668</v>
      </c>
      <c r="BM23" s="1900">
        <v>250000000</v>
      </c>
      <c r="BN23" s="1902">
        <v>41666668</v>
      </c>
      <c r="BO23" s="1902">
        <v>41666666</v>
      </c>
      <c r="BP23" s="1902">
        <v>41666666</v>
      </c>
      <c r="BQ23" s="1902">
        <v>41666668</v>
      </c>
      <c r="BR23" s="1902">
        <v>41666666</v>
      </c>
      <c r="BS23" s="1903">
        <v>41666666</v>
      </c>
      <c r="BT23" s="1900">
        <v>250000000</v>
      </c>
      <c r="BU23" s="1902">
        <v>41666668</v>
      </c>
      <c r="BV23" s="1904">
        <v>41666666</v>
      </c>
      <c r="BW23" s="1904">
        <v>41666666</v>
      </c>
      <c r="BX23" s="1904">
        <v>41666666</v>
      </c>
      <c r="BY23" s="1904">
        <v>41666666</v>
      </c>
      <c r="BZ23" s="1904">
        <v>41666668</v>
      </c>
      <c r="CA23" s="1905">
        <v>250000000</v>
      </c>
      <c r="CB23" s="1904">
        <v>41666668</v>
      </c>
      <c r="CC23" s="1904">
        <v>41666666</v>
      </c>
      <c r="CD23" s="1904">
        <v>41666666</v>
      </c>
      <c r="CE23" s="1904">
        <v>41666668</v>
      </c>
      <c r="CF23" s="1904">
        <v>41666666</v>
      </c>
      <c r="CG23" s="1904">
        <v>41666666</v>
      </c>
      <c r="CH23" s="1367">
        <v>32240438</v>
      </c>
      <c r="CI23" s="1367">
        <v>33879781</v>
      </c>
      <c r="CJ23" s="1367">
        <v>33879781</v>
      </c>
      <c r="CK23" s="1367">
        <v>33333334</v>
      </c>
      <c r="CL23" s="1367">
        <v>33879781</v>
      </c>
      <c r="CM23" s="1367">
        <v>32786885</v>
      </c>
      <c r="CN23" s="1368">
        <v>39722000</v>
      </c>
      <c r="CO23" s="1367">
        <v>8611111</v>
      </c>
      <c r="CP23" s="1366">
        <v>7777778</v>
      </c>
      <c r="CQ23" s="1366">
        <v>8611111</v>
      </c>
      <c r="CR23" s="1367">
        <v>11666444</v>
      </c>
      <c r="CS23" s="982">
        <v>3055556</v>
      </c>
      <c r="CT23" s="1369">
        <v>0</v>
      </c>
      <c r="CU23" s="1369">
        <v>0</v>
      </c>
      <c r="CV23" s="1369">
        <v>0</v>
      </c>
      <c r="CW23" s="1369">
        <v>0</v>
      </c>
      <c r="CX23" s="1367">
        <v>0</v>
      </c>
      <c r="CY23" s="1353"/>
      <c r="CZ23" s="1361"/>
      <c r="DA23" s="1361"/>
      <c r="DB23" s="1361"/>
      <c r="DC23" s="1005"/>
    </row>
    <row r="24" spans="2:107" s="974" customFormat="1" ht="17.100000000000001" customHeight="1">
      <c r="B24" s="1887"/>
      <c r="C24" s="9" t="s">
        <v>847</v>
      </c>
      <c r="D24" s="1900">
        <v>8999999</v>
      </c>
      <c r="E24" s="913">
        <f t="shared" si="0"/>
        <v>2249999</v>
      </c>
      <c r="F24" s="913">
        <v>2250002</v>
      </c>
      <c r="G24" s="913">
        <v>2249999</v>
      </c>
      <c r="H24" s="913">
        <v>2249999</v>
      </c>
      <c r="I24" s="1900">
        <v>13500000</v>
      </c>
      <c r="J24" s="913">
        <v>2250002</v>
      </c>
      <c r="K24" s="913">
        <v>2249999</v>
      </c>
      <c r="L24" s="913">
        <v>2249999</v>
      </c>
      <c r="M24" s="913">
        <v>2250002</v>
      </c>
      <c r="N24" s="913">
        <v>2249999</v>
      </c>
      <c r="O24" s="913">
        <v>2249999</v>
      </c>
      <c r="P24" s="1900">
        <v>13500000</v>
      </c>
      <c r="Q24" s="913">
        <v>2250002</v>
      </c>
      <c r="R24" s="913">
        <v>2249999</v>
      </c>
      <c r="S24" s="913">
        <v>2249999</v>
      </c>
      <c r="T24" s="913">
        <v>2250002</v>
      </c>
      <c r="U24" s="913">
        <v>2249999</v>
      </c>
      <c r="V24" s="913">
        <v>2249999</v>
      </c>
      <c r="W24" s="1900">
        <v>13500000</v>
      </c>
      <c r="X24" s="913">
        <v>2250002</v>
      </c>
      <c r="Y24" s="913">
        <v>2249999</v>
      </c>
      <c r="Z24" s="913">
        <v>2249999</v>
      </c>
      <c r="AA24" s="913">
        <v>2250002</v>
      </c>
      <c r="AB24" s="913">
        <v>2249999</v>
      </c>
      <c r="AC24" s="913">
        <v>2249999</v>
      </c>
      <c r="AD24" s="1900">
        <v>13500000</v>
      </c>
      <c r="AE24" s="913">
        <v>2250002</v>
      </c>
      <c r="AF24" s="913">
        <v>2249999</v>
      </c>
      <c r="AG24" s="913">
        <v>2249999</v>
      </c>
      <c r="AH24" s="913">
        <v>2250002</v>
      </c>
      <c r="AI24" s="913">
        <v>2249999</v>
      </c>
      <c r="AJ24" s="913">
        <v>2249999</v>
      </c>
      <c r="AK24" s="1900">
        <v>13500000</v>
      </c>
      <c r="AL24" s="913">
        <v>2250002</v>
      </c>
      <c r="AM24" s="913">
        <v>2198631</v>
      </c>
      <c r="AN24" s="913">
        <v>2301367</v>
      </c>
      <c r="AO24" s="913">
        <v>2250002</v>
      </c>
      <c r="AP24" s="913">
        <v>2249999</v>
      </c>
      <c r="AQ24" s="913">
        <v>2249999</v>
      </c>
      <c r="AR24" s="1900">
        <v>14806011</v>
      </c>
      <c r="AS24" s="913">
        <v>2306011</v>
      </c>
      <c r="AT24" s="913">
        <v>2500000</v>
      </c>
      <c r="AU24" s="913">
        <v>2500000</v>
      </c>
      <c r="AV24" s="913">
        <v>2500000</v>
      </c>
      <c r="AW24" s="913">
        <v>2500000</v>
      </c>
      <c r="AX24" s="913">
        <v>2500000</v>
      </c>
      <c r="AY24" s="1900">
        <v>15000000</v>
      </c>
      <c r="AZ24" s="913">
        <v>2500000</v>
      </c>
      <c r="BA24" s="913">
        <v>2500000</v>
      </c>
      <c r="BB24" s="913">
        <v>2500000</v>
      </c>
      <c r="BC24" s="913">
        <v>2500000</v>
      </c>
      <c r="BD24" s="913">
        <v>2500000</v>
      </c>
      <c r="BE24" s="913">
        <v>2500000</v>
      </c>
      <c r="BF24" s="1900">
        <v>15000000</v>
      </c>
      <c r="BG24" s="1901">
        <v>2500000</v>
      </c>
      <c r="BH24" s="1901">
        <v>2500000</v>
      </c>
      <c r="BI24" s="1901">
        <v>2500000</v>
      </c>
      <c r="BJ24" s="1902">
        <v>2500000</v>
      </c>
      <c r="BK24" s="1902">
        <v>2500000</v>
      </c>
      <c r="BL24" s="1902">
        <v>2500000</v>
      </c>
      <c r="BM24" s="1900">
        <v>15000000</v>
      </c>
      <c r="BN24" s="1902">
        <v>2500000</v>
      </c>
      <c r="BO24" s="1902">
        <v>2500000</v>
      </c>
      <c r="BP24" s="1902">
        <v>2500000</v>
      </c>
      <c r="BQ24" s="1902">
        <v>2500000</v>
      </c>
      <c r="BR24" s="1902">
        <v>2500000</v>
      </c>
      <c r="BS24" s="1903">
        <v>2500000</v>
      </c>
      <c r="BT24" s="1900">
        <v>15000000</v>
      </c>
      <c r="BU24" s="1902">
        <v>2500000</v>
      </c>
      <c r="BV24" s="1904">
        <v>2500000</v>
      </c>
      <c r="BW24" s="1904">
        <v>2500000</v>
      </c>
      <c r="BX24" s="1904">
        <v>2500000</v>
      </c>
      <c r="BY24" s="1904">
        <v>2500000</v>
      </c>
      <c r="BZ24" s="1904">
        <v>2500000</v>
      </c>
      <c r="CA24" s="1905">
        <v>15000000</v>
      </c>
      <c r="CB24" s="1904">
        <v>2500000</v>
      </c>
      <c r="CC24" s="1904">
        <v>2500000</v>
      </c>
      <c r="CD24" s="1904">
        <v>2500000</v>
      </c>
      <c r="CE24" s="1904">
        <v>2500000</v>
      </c>
      <c r="CF24" s="1904">
        <v>2500000</v>
      </c>
      <c r="CG24" s="1904">
        <v>2500000</v>
      </c>
      <c r="CH24" s="1367">
        <v>2418032</v>
      </c>
      <c r="CI24" s="1367">
        <v>2540984</v>
      </c>
      <c r="CJ24" s="1367">
        <v>2540984</v>
      </c>
      <c r="CK24" s="1367">
        <v>2500000</v>
      </c>
      <c r="CL24" s="1367">
        <v>2540984</v>
      </c>
      <c r="CM24" s="1367">
        <v>2459016</v>
      </c>
      <c r="CN24" s="1368">
        <v>17666667</v>
      </c>
      <c r="CO24" s="1367">
        <v>2554945</v>
      </c>
      <c r="CP24" s="1366">
        <v>2307693</v>
      </c>
      <c r="CQ24" s="1366">
        <v>2554945</v>
      </c>
      <c r="CR24" s="1367">
        <v>2554945</v>
      </c>
      <c r="CS24" s="982">
        <v>7694139</v>
      </c>
      <c r="CT24" s="1369">
        <v>0</v>
      </c>
      <c r="CU24" s="1369">
        <v>0</v>
      </c>
      <c r="CV24" s="1369">
        <v>0</v>
      </c>
      <c r="CW24" s="1369">
        <v>0</v>
      </c>
      <c r="CX24" s="1367">
        <v>0</v>
      </c>
      <c r="CY24" s="1353"/>
      <c r="CZ24" s="1361"/>
      <c r="DA24" s="1361"/>
      <c r="DB24" s="1361"/>
      <c r="DC24" s="1005"/>
    </row>
    <row r="25" spans="2:107" s="974" customFormat="1" ht="17.100000000000001" customHeight="1">
      <c r="B25" s="1887"/>
      <c r="C25" s="9" t="s">
        <v>848</v>
      </c>
      <c r="D25" s="1900">
        <v>11666666</v>
      </c>
      <c r="E25" s="913">
        <f t="shared" si="0"/>
        <v>2916666</v>
      </c>
      <c r="F25" s="913">
        <v>2916668</v>
      </c>
      <c r="G25" s="913">
        <v>2916666</v>
      </c>
      <c r="H25" s="913">
        <v>2916666</v>
      </c>
      <c r="I25" s="1900">
        <v>17500000</v>
      </c>
      <c r="J25" s="913">
        <v>2916668</v>
      </c>
      <c r="K25" s="913">
        <v>2916666</v>
      </c>
      <c r="L25" s="913">
        <v>2916666</v>
      </c>
      <c r="M25" s="913">
        <v>2916668</v>
      </c>
      <c r="N25" s="913">
        <v>2916666</v>
      </c>
      <c r="O25" s="913">
        <v>2916666</v>
      </c>
      <c r="P25" s="1900">
        <v>17500000</v>
      </c>
      <c r="Q25" s="913">
        <v>2916668</v>
      </c>
      <c r="R25" s="913">
        <v>2916666</v>
      </c>
      <c r="S25" s="913">
        <v>2916666</v>
      </c>
      <c r="T25" s="913">
        <v>2916668</v>
      </c>
      <c r="U25" s="913">
        <v>2916666</v>
      </c>
      <c r="V25" s="913">
        <v>2916666</v>
      </c>
      <c r="W25" s="1900">
        <v>17500000</v>
      </c>
      <c r="X25" s="913">
        <v>2916668</v>
      </c>
      <c r="Y25" s="913">
        <v>2916666</v>
      </c>
      <c r="Z25" s="913">
        <v>2916666</v>
      </c>
      <c r="AA25" s="913">
        <v>2916668</v>
      </c>
      <c r="AB25" s="913">
        <v>2916666</v>
      </c>
      <c r="AC25" s="913">
        <v>2916666</v>
      </c>
      <c r="AD25" s="1900">
        <v>17500000</v>
      </c>
      <c r="AE25" s="913">
        <v>2916668</v>
      </c>
      <c r="AF25" s="913">
        <v>2916666</v>
      </c>
      <c r="AG25" s="913">
        <v>2916666</v>
      </c>
      <c r="AH25" s="913">
        <v>2916668</v>
      </c>
      <c r="AI25" s="913">
        <v>2916666</v>
      </c>
      <c r="AJ25" s="913">
        <v>2916666</v>
      </c>
      <c r="AK25" s="1900">
        <v>17500000</v>
      </c>
      <c r="AL25" s="913">
        <v>2916668</v>
      </c>
      <c r="AM25" s="913">
        <v>2916666</v>
      </c>
      <c r="AN25" s="913">
        <v>2916666</v>
      </c>
      <c r="AO25" s="913">
        <v>2916668</v>
      </c>
      <c r="AP25" s="913">
        <v>2916666</v>
      </c>
      <c r="AQ25" s="913">
        <v>2916666</v>
      </c>
      <c r="AR25" s="1900">
        <v>17500000</v>
      </c>
      <c r="AS25" s="913">
        <v>2916668</v>
      </c>
      <c r="AT25" s="913">
        <v>2916666</v>
      </c>
      <c r="AU25" s="913">
        <v>2916666</v>
      </c>
      <c r="AV25" s="913">
        <v>2916668</v>
      </c>
      <c r="AW25" s="913">
        <v>2916666</v>
      </c>
      <c r="AX25" s="913">
        <v>2916666</v>
      </c>
      <c r="AY25" s="1900">
        <v>17500000</v>
      </c>
      <c r="AZ25" s="913">
        <v>2916668</v>
      </c>
      <c r="BA25" s="913">
        <v>2916666</v>
      </c>
      <c r="BB25" s="913">
        <v>2916666</v>
      </c>
      <c r="BC25" s="913">
        <v>2916668</v>
      </c>
      <c r="BD25" s="913">
        <v>2916666</v>
      </c>
      <c r="BE25" s="913">
        <v>2916666</v>
      </c>
      <c r="BF25" s="1900">
        <v>17500000</v>
      </c>
      <c r="BG25" s="1901">
        <v>2916668</v>
      </c>
      <c r="BH25" s="1901">
        <v>2916666</v>
      </c>
      <c r="BI25" s="1901">
        <v>2916666</v>
      </c>
      <c r="BJ25" s="1902">
        <v>2916668</v>
      </c>
      <c r="BK25" s="1902">
        <v>2916666</v>
      </c>
      <c r="BL25" s="1902">
        <v>2916666</v>
      </c>
      <c r="BM25" s="1900">
        <v>17500000</v>
      </c>
      <c r="BN25" s="1902">
        <v>2916668</v>
      </c>
      <c r="BO25" s="1902">
        <v>2916666</v>
      </c>
      <c r="BP25" s="1902">
        <v>2916666</v>
      </c>
      <c r="BQ25" s="1902">
        <v>2916668</v>
      </c>
      <c r="BR25" s="1902">
        <v>2916666</v>
      </c>
      <c r="BS25" s="1903">
        <v>2916666</v>
      </c>
      <c r="BT25" s="1900">
        <v>17500000</v>
      </c>
      <c r="BU25" s="1902">
        <v>2916668</v>
      </c>
      <c r="BV25" s="1904">
        <v>2916666</v>
      </c>
      <c r="BW25" s="1904">
        <v>2916666</v>
      </c>
      <c r="BX25" s="1904">
        <v>2916668</v>
      </c>
      <c r="BY25" s="1904">
        <v>2916666</v>
      </c>
      <c r="BZ25" s="1904">
        <v>2916666</v>
      </c>
      <c r="CA25" s="1905">
        <v>17500000</v>
      </c>
      <c r="CB25" s="1904">
        <v>2916668</v>
      </c>
      <c r="CC25" s="1904">
        <v>2916666</v>
      </c>
      <c r="CD25" s="1904">
        <v>2916666</v>
      </c>
      <c r="CE25" s="1904">
        <v>2916668</v>
      </c>
      <c r="CF25" s="1904">
        <v>2916666</v>
      </c>
      <c r="CG25" s="1904">
        <v>2916666</v>
      </c>
      <c r="CH25" s="1367">
        <v>2821038</v>
      </c>
      <c r="CI25" s="1367">
        <v>2964481</v>
      </c>
      <c r="CJ25" s="1367">
        <v>2964481</v>
      </c>
      <c r="CK25" s="1367">
        <v>2916667</v>
      </c>
      <c r="CL25" s="1367">
        <v>2964481</v>
      </c>
      <c r="CM25" s="1367">
        <v>2868852</v>
      </c>
      <c r="CN25" s="1368">
        <v>13902778</v>
      </c>
      <c r="CO25" s="1367">
        <v>3013889</v>
      </c>
      <c r="CP25" s="1366">
        <v>2722222</v>
      </c>
      <c r="CQ25" s="1366">
        <v>3013889</v>
      </c>
      <c r="CR25" s="1367">
        <v>3013889</v>
      </c>
      <c r="CS25" s="982">
        <v>2138889</v>
      </c>
      <c r="CT25" s="1369">
        <v>0</v>
      </c>
      <c r="CU25" s="1369">
        <v>0</v>
      </c>
      <c r="CV25" s="1369">
        <v>0</v>
      </c>
      <c r="CW25" s="1369">
        <v>0</v>
      </c>
      <c r="CX25" s="1367">
        <v>0</v>
      </c>
      <c r="CY25" s="1353"/>
      <c r="CZ25" s="1361"/>
      <c r="DA25" s="1361"/>
      <c r="DB25" s="1361"/>
      <c r="DC25" s="1005"/>
    </row>
    <row r="26" spans="2:107" s="974" customFormat="1" ht="17.100000000000001" customHeight="1">
      <c r="B26" s="1887"/>
      <c r="C26" s="9" t="s">
        <v>849</v>
      </c>
      <c r="D26" s="1900">
        <v>91392856</v>
      </c>
      <c r="E26" s="913">
        <f t="shared" si="0"/>
        <v>16602574</v>
      </c>
      <c r="F26" s="913">
        <v>16607870</v>
      </c>
      <c r="G26" s="913">
        <v>40835280</v>
      </c>
      <c r="H26" s="913">
        <v>17347132</v>
      </c>
      <c r="I26" s="1900">
        <v>112051946</v>
      </c>
      <c r="J26" s="913">
        <v>21139093</v>
      </c>
      <c r="K26" s="913">
        <v>17627592</v>
      </c>
      <c r="L26" s="913">
        <v>19779819</v>
      </c>
      <c r="M26" s="913">
        <v>17561934</v>
      </c>
      <c r="N26" s="913">
        <v>17662127</v>
      </c>
      <c r="O26" s="913">
        <v>18281381</v>
      </c>
      <c r="P26" s="1900">
        <v>107669246</v>
      </c>
      <c r="Q26" s="913">
        <v>17772305</v>
      </c>
      <c r="R26" s="913">
        <v>18313842</v>
      </c>
      <c r="S26" s="913">
        <v>18867241</v>
      </c>
      <c r="T26" s="913">
        <v>17473623</v>
      </c>
      <c r="U26" s="913">
        <v>18102872</v>
      </c>
      <c r="V26" s="913">
        <v>17139363</v>
      </c>
      <c r="W26" s="1900">
        <v>99782472</v>
      </c>
      <c r="X26" s="913">
        <v>17213926</v>
      </c>
      <c r="Y26" s="913">
        <v>15531638</v>
      </c>
      <c r="Z26" s="913">
        <v>16831816</v>
      </c>
      <c r="AA26" s="913">
        <v>16888147</v>
      </c>
      <c r="AB26" s="913">
        <v>16429336</v>
      </c>
      <c r="AC26" s="913">
        <v>16887609</v>
      </c>
      <c r="AD26" s="1900">
        <v>133353371</v>
      </c>
      <c r="AE26" s="913">
        <v>17409086</v>
      </c>
      <c r="AF26" s="913">
        <v>44924178</v>
      </c>
      <c r="AG26" s="913">
        <v>17876775</v>
      </c>
      <c r="AH26" s="913">
        <v>16997674</v>
      </c>
      <c r="AI26" s="913">
        <v>17593558</v>
      </c>
      <c r="AJ26" s="913">
        <v>18552100</v>
      </c>
      <c r="AK26" s="1900">
        <v>98815086</v>
      </c>
      <c r="AL26" s="913">
        <v>16954372</v>
      </c>
      <c r="AM26" s="913">
        <v>15935998</v>
      </c>
      <c r="AN26" s="913">
        <v>17599511</v>
      </c>
      <c r="AO26" s="913">
        <v>16938985</v>
      </c>
      <c r="AP26" s="913">
        <v>15907655</v>
      </c>
      <c r="AQ26" s="913">
        <v>15478565</v>
      </c>
      <c r="AR26" s="1900">
        <v>11155716030</v>
      </c>
      <c r="AS26" s="913">
        <v>11084961970</v>
      </c>
      <c r="AT26" s="913">
        <v>15235779</v>
      </c>
      <c r="AU26" s="913">
        <v>15232370</v>
      </c>
      <c r="AV26" s="913">
        <v>14206845</v>
      </c>
      <c r="AW26" s="913">
        <v>13027798</v>
      </c>
      <c r="AX26" s="913">
        <v>13051268</v>
      </c>
      <c r="AY26" s="1900">
        <v>83910980</v>
      </c>
      <c r="AZ26" s="913">
        <v>-9648354</v>
      </c>
      <c r="BA26" s="913">
        <v>12726864</v>
      </c>
      <c r="BB26" s="913">
        <v>13703317</v>
      </c>
      <c r="BC26" s="913">
        <v>13614659</v>
      </c>
      <c r="BD26" s="913">
        <v>39557602</v>
      </c>
      <c r="BE26" s="913">
        <v>13956892</v>
      </c>
      <c r="BF26" s="1900">
        <v>79725690</v>
      </c>
      <c r="BG26" s="1901">
        <v>13595327</v>
      </c>
      <c r="BH26" s="1901">
        <v>13958319</v>
      </c>
      <c r="BI26" s="1901">
        <v>13764409</v>
      </c>
      <c r="BJ26" s="1902">
        <v>12980999</v>
      </c>
      <c r="BK26" s="1902">
        <v>13266724</v>
      </c>
      <c r="BL26" s="1902">
        <v>12159912</v>
      </c>
      <c r="BM26" s="1900">
        <v>69119427</v>
      </c>
      <c r="BN26" s="1902">
        <v>12523254</v>
      </c>
      <c r="BO26" s="1902">
        <v>11876591</v>
      </c>
      <c r="BP26" s="1902">
        <v>12523263</v>
      </c>
      <c r="BQ26" s="1902">
        <v>11145114</v>
      </c>
      <c r="BR26" s="1902">
        <v>10558218</v>
      </c>
      <c r="BS26" s="1903">
        <v>10492987</v>
      </c>
      <c r="BT26" s="1900">
        <v>61710494</v>
      </c>
      <c r="BU26" s="1902">
        <v>10076897</v>
      </c>
      <c r="BV26" s="1904">
        <v>10404736</v>
      </c>
      <c r="BW26" s="1904">
        <v>10910567</v>
      </c>
      <c r="BX26" s="1904">
        <v>10305468</v>
      </c>
      <c r="BY26" s="1904">
        <v>10354842</v>
      </c>
      <c r="BZ26" s="1904">
        <v>9657984</v>
      </c>
      <c r="CA26" s="1905">
        <v>38026262</v>
      </c>
      <c r="CB26" s="1904">
        <v>7852322</v>
      </c>
      <c r="CC26" s="1904">
        <v>6150380</v>
      </c>
      <c r="CD26" s="1904">
        <v>6245340</v>
      </c>
      <c r="CE26" s="1904">
        <v>6134018</v>
      </c>
      <c r="CF26" s="1904">
        <v>5787554</v>
      </c>
      <c r="CG26" s="1904">
        <v>5856648</v>
      </c>
      <c r="CH26" s="1367">
        <v>5203452</v>
      </c>
      <c r="CI26" s="1367">
        <v>5362257</v>
      </c>
      <c r="CJ26" s="1367">
        <v>4831204</v>
      </c>
      <c r="CK26" s="1367">
        <v>3676336</v>
      </c>
      <c r="CL26" s="1367">
        <v>8761150</v>
      </c>
      <c r="CM26" s="1367">
        <v>2499998</v>
      </c>
      <c r="CN26" s="1368">
        <v>63046419</v>
      </c>
      <c r="CO26" s="1367">
        <v>7996600</v>
      </c>
      <c r="CP26" s="1366">
        <v>19431210</v>
      </c>
      <c r="CQ26" s="1366">
        <v>26468609</v>
      </c>
      <c r="CR26" s="1367">
        <v>1950000</v>
      </c>
      <c r="CS26" s="1366">
        <v>7200000</v>
      </c>
      <c r="CT26" s="1367">
        <v>0</v>
      </c>
      <c r="CU26" s="1367">
        <v>0</v>
      </c>
      <c r="CV26" s="1367">
        <v>0</v>
      </c>
      <c r="CW26" s="1367">
        <v>0</v>
      </c>
      <c r="CX26" s="1367">
        <v>0</v>
      </c>
      <c r="CY26" s="1353"/>
      <c r="CZ26" s="1378"/>
      <c r="DA26" s="1361"/>
      <c r="DB26" s="1361"/>
      <c r="DC26" s="1005"/>
    </row>
    <row r="27" spans="2:107" s="1379" customFormat="1" ht="16.5" customHeight="1">
      <c r="B27" s="1888"/>
      <c r="C27" s="59" t="s">
        <v>850</v>
      </c>
      <c r="D27" s="1917">
        <v>265701486</v>
      </c>
      <c r="E27" s="118">
        <f t="shared" si="0"/>
        <v>69758495</v>
      </c>
      <c r="F27" s="118">
        <v>65311000</v>
      </c>
      <c r="G27" s="118">
        <v>65311000</v>
      </c>
      <c r="H27" s="118">
        <v>65320991</v>
      </c>
      <c r="I27" s="1917">
        <v>408271296</v>
      </c>
      <c r="J27" s="118">
        <v>65311000</v>
      </c>
      <c r="K27" s="118">
        <v>65311000</v>
      </c>
      <c r="L27" s="118">
        <v>65311616</v>
      </c>
      <c r="M27" s="118">
        <v>84160200</v>
      </c>
      <c r="N27" s="118">
        <v>60974230</v>
      </c>
      <c r="O27" s="118">
        <v>67203250</v>
      </c>
      <c r="P27" s="1917">
        <v>379467524</v>
      </c>
      <c r="Q27" s="118">
        <v>60351310</v>
      </c>
      <c r="R27" s="118">
        <v>62564550</v>
      </c>
      <c r="S27" s="118">
        <v>62736910</v>
      </c>
      <c r="T27" s="118">
        <v>64601770</v>
      </c>
      <c r="U27" s="118">
        <v>64601770</v>
      </c>
      <c r="V27" s="118">
        <v>64611214</v>
      </c>
      <c r="W27" s="1917">
        <v>422222420</v>
      </c>
      <c r="X27" s="118">
        <v>64601770</v>
      </c>
      <c r="Y27" s="118">
        <v>64601770</v>
      </c>
      <c r="Z27" s="118">
        <v>64669280</v>
      </c>
      <c r="AA27" s="118">
        <v>81833160</v>
      </c>
      <c r="AB27" s="118">
        <v>70394380</v>
      </c>
      <c r="AC27" s="118">
        <v>76122060</v>
      </c>
      <c r="AD27" s="1917">
        <v>369898140</v>
      </c>
      <c r="AE27" s="118">
        <v>69678430</v>
      </c>
      <c r="AF27" s="118">
        <v>61981090</v>
      </c>
      <c r="AG27" s="118">
        <v>61981120</v>
      </c>
      <c r="AH27" s="118">
        <v>58752500</v>
      </c>
      <c r="AI27" s="118">
        <v>58752500</v>
      </c>
      <c r="AJ27" s="118">
        <v>58752500</v>
      </c>
      <c r="AK27" s="1917">
        <v>405270540</v>
      </c>
      <c r="AL27" s="118">
        <v>58752500</v>
      </c>
      <c r="AM27" s="118">
        <v>58820000</v>
      </c>
      <c r="AN27" s="118">
        <v>58752510</v>
      </c>
      <c r="AO27" s="118">
        <v>57061217</v>
      </c>
      <c r="AP27" s="118">
        <v>118948933</v>
      </c>
      <c r="AQ27" s="118">
        <v>52935380</v>
      </c>
      <c r="AR27" s="1917">
        <v>328306300</v>
      </c>
      <c r="AS27" s="118">
        <v>52937859</v>
      </c>
      <c r="AT27" s="118">
        <v>50827820</v>
      </c>
      <c r="AU27" s="118">
        <v>56133281</v>
      </c>
      <c r="AV27" s="118">
        <v>56135780</v>
      </c>
      <c r="AW27" s="118">
        <v>56135780</v>
      </c>
      <c r="AX27" s="118">
        <v>56135780</v>
      </c>
      <c r="AY27" s="1917">
        <v>352110419</v>
      </c>
      <c r="AZ27" s="118">
        <v>56135780</v>
      </c>
      <c r="BA27" s="118">
        <v>56135780</v>
      </c>
      <c r="BB27" s="118">
        <v>56203320</v>
      </c>
      <c r="BC27" s="118">
        <v>59747490</v>
      </c>
      <c r="BD27" s="118">
        <v>59747497</v>
      </c>
      <c r="BE27" s="118">
        <v>64140552</v>
      </c>
      <c r="BF27" s="1917">
        <v>333227021</v>
      </c>
      <c r="BG27" s="1918">
        <v>59433262</v>
      </c>
      <c r="BH27" s="1918">
        <v>57730992</v>
      </c>
      <c r="BI27" s="1918">
        <v>57731011</v>
      </c>
      <c r="BJ27" s="1919">
        <v>52777252</v>
      </c>
      <c r="BK27" s="1919">
        <v>52777252</v>
      </c>
      <c r="BL27" s="1919">
        <v>52777252</v>
      </c>
      <c r="BM27" s="1917">
        <v>318908795</v>
      </c>
      <c r="BN27" s="1919">
        <v>52777252</v>
      </c>
      <c r="BO27" s="1919">
        <v>52844752</v>
      </c>
      <c r="BP27" s="1919">
        <v>52777262</v>
      </c>
      <c r="BQ27" s="1919">
        <v>48576489</v>
      </c>
      <c r="BR27" s="1919">
        <v>47404950</v>
      </c>
      <c r="BS27" s="1920">
        <v>64528090</v>
      </c>
      <c r="BT27" s="1917">
        <v>306566589</v>
      </c>
      <c r="BU27" s="1919">
        <v>46265549</v>
      </c>
      <c r="BV27" s="1921">
        <v>44176560</v>
      </c>
      <c r="BW27" s="1921">
        <v>44176570</v>
      </c>
      <c r="BX27" s="1921">
        <v>57315970</v>
      </c>
      <c r="BY27" s="1921">
        <v>57315970</v>
      </c>
      <c r="BZ27" s="1921">
        <v>57315970</v>
      </c>
      <c r="CA27" s="1922">
        <v>344224630</v>
      </c>
      <c r="CB27" s="1921">
        <v>57315970</v>
      </c>
      <c r="CC27" s="1921">
        <v>57315970</v>
      </c>
      <c r="CD27" s="1921">
        <v>57383470</v>
      </c>
      <c r="CE27" s="1921">
        <v>60120005</v>
      </c>
      <c r="CF27" s="1921">
        <v>60120008</v>
      </c>
      <c r="CG27" s="1921">
        <v>51969207</v>
      </c>
      <c r="CH27" s="1381">
        <v>60702208</v>
      </c>
      <c r="CI27" s="1381">
        <v>58922528</v>
      </c>
      <c r="CJ27" s="1381">
        <v>59146938</v>
      </c>
      <c r="CK27" s="1381">
        <v>55284051</v>
      </c>
      <c r="CL27" s="1381">
        <v>57126853</v>
      </c>
      <c r="CM27" s="1381">
        <v>55284051</v>
      </c>
      <c r="CN27" s="1382">
        <v>266913159</v>
      </c>
      <c r="CO27" s="1381">
        <v>95907550</v>
      </c>
      <c r="CP27" s="1380">
        <v>41903273</v>
      </c>
      <c r="CQ27" s="1380">
        <v>46635410</v>
      </c>
      <c r="CR27" s="1381">
        <v>49542919</v>
      </c>
      <c r="CS27" s="1380">
        <v>32924007</v>
      </c>
      <c r="CT27" s="1381">
        <v>0</v>
      </c>
      <c r="CU27" s="1381">
        <v>0</v>
      </c>
      <c r="CV27" s="1381">
        <v>0</v>
      </c>
      <c r="CW27" s="1381">
        <v>0</v>
      </c>
      <c r="CX27" s="1381">
        <v>0</v>
      </c>
      <c r="CY27" s="1385"/>
      <c r="CZ27" s="1361"/>
      <c r="DA27" s="1361"/>
      <c r="DB27" s="1361"/>
      <c r="DC27" s="1005"/>
    </row>
    <row r="28" spans="2:107" s="974" customFormat="1" ht="16.5" customHeight="1">
      <c r="B28" s="1887"/>
      <c r="C28" s="9" t="s">
        <v>851</v>
      </c>
      <c r="D28" s="1900">
        <v>16272300</v>
      </c>
      <c r="E28" s="913">
        <f t="shared" si="0"/>
        <v>4143483</v>
      </c>
      <c r="F28" s="913">
        <v>3998415</v>
      </c>
      <c r="G28" s="913">
        <v>4131696</v>
      </c>
      <c r="H28" s="913">
        <v>3998706</v>
      </c>
      <c r="I28" s="1900">
        <v>22289610</v>
      </c>
      <c r="J28" s="913">
        <v>4132825</v>
      </c>
      <c r="K28" s="913">
        <v>4555294</v>
      </c>
      <c r="L28" s="913">
        <v>3433722</v>
      </c>
      <c r="M28" s="913">
        <v>3433722</v>
      </c>
      <c r="N28" s="913">
        <v>3322250</v>
      </c>
      <c r="O28" s="913">
        <v>3411797</v>
      </c>
      <c r="P28" s="1900">
        <v>20146461</v>
      </c>
      <c r="Q28" s="913">
        <v>3301739</v>
      </c>
      <c r="R28" s="913">
        <v>3423086</v>
      </c>
      <c r="S28" s="913">
        <v>3423086</v>
      </c>
      <c r="T28" s="913">
        <v>3303250</v>
      </c>
      <c r="U28" s="913">
        <v>3406875</v>
      </c>
      <c r="V28" s="913">
        <v>3288425</v>
      </c>
      <c r="W28" s="1900">
        <v>14488071</v>
      </c>
      <c r="X28" s="913">
        <v>7383794</v>
      </c>
      <c r="Y28" s="913">
        <v>1312945</v>
      </c>
      <c r="Z28" s="913">
        <v>1459604</v>
      </c>
      <c r="AA28" s="913">
        <v>1459604</v>
      </c>
      <c r="AB28" s="913">
        <v>1412520</v>
      </c>
      <c r="AC28" s="913">
        <v>1459604</v>
      </c>
      <c r="AD28" s="1900">
        <v>8601199</v>
      </c>
      <c r="AE28" s="913">
        <v>1411392</v>
      </c>
      <c r="AF28" s="913">
        <v>1461915</v>
      </c>
      <c r="AG28" s="913">
        <v>1452703</v>
      </c>
      <c r="AH28" s="913">
        <v>1410192</v>
      </c>
      <c r="AI28" s="913">
        <v>1452703</v>
      </c>
      <c r="AJ28" s="913">
        <v>1412294</v>
      </c>
      <c r="AK28" s="1900">
        <v>9192046</v>
      </c>
      <c r="AL28" s="913">
        <v>1562399</v>
      </c>
      <c r="AM28" s="913">
        <v>1424469</v>
      </c>
      <c r="AN28" s="913">
        <v>1578906</v>
      </c>
      <c r="AO28" s="913">
        <v>1568035</v>
      </c>
      <c r="AP28" s="913">
        <v>1501622</v>
      </c>
      <c r="AQ28" s="913">
        <v>1556615</v>
      </c>
      <c r="AR28" s="1900">
        <v>8989929</v>
      </c>
      <c r="AS28" s="913">
        <v>1495415</v>
      </c>
      <c r="AT28" s="913">
        <v>1540591</v>
      </c>
      <c r="AU28" s="913">
        <v>1542104</v>
      </c>
      <c r="AV28" s="913">
        <v>1476896</v>
      </c>
      <c r="AW28" s="913">
        <v>1485154</v>
      </c>
      <c r="AX28" s="913">
        <v>1449769</v>
      </c>
      <c r="AY28" s="1900">
        <v>11096447</v>
      </c>
      <c r="AZ28" s="913">
        <v>53373</v>
      </c>
      <c r="BA28" s="913">
        <v>2045795</v>
      </c>
      <c r="BB28" s="913">
        <v>2288370</v>
      </c>
      <c r="BC28" s="913">
        <v>2268404</v>
      </c>
      <c r="BD28" s="913">
        <v>2187291</v>
      </c>
      <c r="BE28" s="913">
        <v>2253214</v>
      </c>
      <c r="BF28" s="1900">
        <v>13348652</v>
      </c>
      <c r="BG28" s="1901">
        <v>2199909</v>
      </c>
      <c r="BH28" s="1901">
        <v>2287845</v>
      </c>
      <c r="BI28" s="1901">
        <v>2262508</v>
      </c>
      <c r="BJ28" s="1902">
        <v>2179991</v>
      </c>
      <c r="BK28" s="1902">
        <v>2240060</v>
      </c>
      <c r="BL28" s="1902">
        <v>2178339</v>
      </c>
      <c r="BM28" s="1900">
        <v>14310604</v>
      </c>
      <c r="BN28" s="1902">
        <v>1513754</v>
      </c>
      <c r="BO28" s="1902">
        <v>2468046</v>
      </c>
      <c r="BP28" s="1902">
        <v>2638253</v>
      </c>
      <c r="BQ28" s="1902">
        <v>2597464</v>
      </c>
      <c r="BR28" s="1902">
        <v>2513675</v>
      </c>
      <c r="BS28" s="1903">
        <v>2579412</v>
      </c>
      <c r="BT28" s="1900">
        <v>15151726</v>
      </c>
      <c r="BU28" s="1902">
        <v>2487891</v>
      </c>
      <c r="BV28" s="1904">
        <v>2570820</v>
      </c>
      <c r="BW28" s="1904">
        <v>2555162</v>
      </c>
      <c r="BX28" s="1904">
        <v>2472137</v>
      </c>
      <c r="BY28" s="1904">
        <v>2550342</v>
      </c>
      <c r="BZ28" s="1904">
        <v>2515374</v>
      </c>
      <c r="CA28" s="1905">
        <v>13098290</v>
      </c>
      <c r="CB28" s="1904">
        <v>3041918</v>
      </c>
      <c r="CC28" s="1904">
        <v>1845881</v>
      </c>
      <c r="CD28" s="1904">
        <v>2045730</v>
      </c>
      <c r="CE28" s="1904">
        <v>2037791</v>
      </c>
      <c r="CF28" s="1904">
        <v>2029658</v>
      </c>
      <c r="CG28" s="1904">
        <v>2097312</v>
      </c>
      <c r="CH28" s="1367">
        <v>2006353.0999999996</v>
      </c>
      <c r="CI28" s="1367">
        <v>2072977.9000000004</v>
      </c>
      <c r="CJ28" s="1367">
        <v>2068100.2999999998</v>
      </c>
      <c r="CK28" s="1367">
        <v>1988026.7000000002</v>
      </c>
      <c r="CL28" s="1367">
        <v>1981229</v>
      </c>
      <c r="CM28" s="1367">
        <v>2721006</v>
      </c>
      <c r="CN28" s="1368">
        <v>18591968</v>
      </c>
      <c r="CO28" s="1367">
        <v>4819722</v>
      </c>
      <c r="CP28" s="1366">
        <v>2891423</v>
      </c>
      <c r="CQ28" s="1366">
        <v>3317883</v>
      </c>
      <c r="CR28" s="1367">
        <v>4408107</v>
      </c>
      <c r="CS28" s="1366">
        <v>3154833</v>
      </c>
      <c r="CT28" s="1367">
        <v>0</v>
      </c>
      <c r="CU28" s="1367">
        <v>0</v>
      </c>
      <c r="CV28" s="1367">
        <v>0</v>
      </c>
      <c r="CW28" s="1367">
        <v>0</v>
      </c>
      <c r="CX28" s="1367">
        <v>0</v>
      </c>
      <c r="CY28" s="1353"/>
      <c r="CZ28" s="1361"/>
      <c r="DA28" s="1361"/>
      <c r="DB28" s="1361"/>
      <c r="DC28" s="1005"/>
    </row>
    <row r="29" spans="2:107" s="974" customFormat="1" ht="17.100000000000001" customHeight="1">
      <c r="B29" s="1887"/>
      <c r="C29" s="1889" t="s">
        <v>852</v>
      </c>
      <c r="D29" s="1900">
        <v>603340</v>
      </c>
      <c r="E29" s="913">
        <f t="shared" si="0"/>
        <v>0</v>
      </c>
      <c r="F29" s="913">
        <v>264340</v>
      </c>
      <c r="G29" s="913">
        <v>0</v>
      </c>
      <c r="H29" s="913">
        <v>339000</v>
      </c>
      <c r="I29" s="1900">
        <v>458140</v>
      </c>
      <c r="J29" s="913">
        <v>0</v>
      </c>
      <c r="K29" s="913">
        <v>0</v>
      </c>
      <c r="L29" s="913">
        <v>0</v>
      </c>
      <c r="M29" s="913">
        <v>261140</v>
      </c>
      <c r="N29" s="913">
        <v>0</v>
      </c>
      <c r="O29" s="913">
        <v>197000</v>
      </c>
      <c r="P29" s="1900">
        <v>5744955</v>
      </c>
      <c r="Q29" s="913">
        <v>5249055</v>
      </c>
      <c r="R29" s="913">
        <v>0</v>
      </c>
      <c r="S29" s="913">
        <v>264900</v>
      </c>
      <c r="T29" s="913">
        <v>0</v>
      </c>
      <c r="U29" s="913">
        <v>0</v>
      </c>
      <c r="V29" s="913">
        <v>231000</v>
      </c>
      <c r="W29" s="1900">
        <v>1027770</v>
      </c>
      <c r="X29" s="913">
        <v>0</v>
      </c>
      <c r="Y29" s="913">
        <v>0</v>
      </c>
      <c r="Z29" s="913">
        <v>0</v>
      </c>
      <c r="AA29" s="913">
        <v>204520</v>
      </c>
      <c r="AB29" s="913">
        <v>374000</v>
      </c>
      <c r="AC29" s="913">
        <v>449250</v>
      </c>
      <c r="AD29" s="1900">
        <v>1769530</v>
      </c>
      <c r="AE29" s="913">
        <v>0</v>
      </c>
      <c r="AF29" s="913">
        <v>0</v>
      </c>
      <c r="AG29" s="913">
        <v>0</v>
      </c>
      <c r="AH29" s="913">
        <v>280360</v>
      </c>
      <c r="AI29" s="913">
        <v>18000</v>
      </c>
      <c r="AJ29" s="913">
        <v>1471170</v>
      </c>
      <c r="AK29" s="1900">
        <v>3639660</v>
      </c>
      <c r="AL29" s="913">
        <v>0</v>
      </c>
      <c r="AM29" s="913">
        <v>1784000</v>
      </c>
      <c r="AN29" s="913">
        <v>0</v>
      </c>
      <c r="AO29" s="913">
        <v>1667660</v>
      </c>
      <c r="AP29" s="913">
        <v>0</v>
      </c>
      <c r="AQ29" s="913">
        <v>188000</v>
      </c>
      <c r="AR29" s="1900">
        <v>927920</v>
      </c>
      <c r="AS29" s="913">
        <v>374000</v>
      </c>
      <c r="AT29" s="913">
        <v>150000</v>
      </c>
      <c r="AU29" s="913">
        <v>143000</v>
      </c>
      <c r="AV29" s="913">
        <v>127920</v>
      </c>
      <c r="AW29" s="913">
        <v>0</v>
      </c>
      <c r="AX29" s="913">
        <v>133000</v>
      </c>
      <c r="AY29" s="1900">
        <v>1009560</v>
      </c>
      <c r="AZ29" s="913">
        <v>0</v>
      </c>
      <c r="BA29" s="913">
        <v>133000</v>
      </c>
      <c r="BB29" s="913">
        <v>0</v>
      </c>
      <c r="BC29" s="913">
        <v>626560</v>
      </c>
      <c r="BD29" s="913">
        <v>0</v>
      </c>
      <c r="BE29" s="913">
        <v>250000</v>
      </c>
      <c r="BF29" s="1900">
        <v>907570</v>
      </c>
      <c r="BG29" s="1901">
        <v>0</v>
      </c>
      <c r="BH29" s="1901">
        <v>0</v>
      </c>
      <c r="BI29" s="1901">
        <v>347250</v>
      </c>
      <c r="BJ29" s="1902">
        <v>422320</v>
      </c>
      <c r="BK29" s="1902">
        <v>0</v>
      </c>
      <c r="BL29" s="1902">
        <v>138000</v>
      </c>
      <c r="BM29" s="1900">
        <v>786520</v>
      </c>
      <c r="BN29" s="1902">
        <v>0</v>
      </c>
      <c r="BO29" s="1902">
        <v>0</v>
      </c>
      <c r="BP29" s="1902">
        <v>130500</v>
      </c>
      <c r="BQ29" s="1902">
        <v>171020</v>
      </c>
      <c r="BR29" s="1902">
        <v>465000</v>
      </c>
      <c r="BS29" s="1903">
        <v>20000</v>
      </c>
      <c r="BT29" s="1900">
        <v>783260</v>
      </c>
      <c r="BU29" s="1902">
        <v>8000</v>
      </c>
      <c r="BV29" s="1904">
        <v>183770</v>
      </c>
      <c r="BW29" s="1904">
        <v>0</v>
      </c>
      <c r="BX29" s="1904">
        <v>115670</v>
      </c>
      <c r="BY29" s="1904">
        <v>204000</v>
      </c>
      <c r="BZ29" s="1904">
        <v>271820</v>
      </c>
      <c r="CA29" s="1905">
        <v>767460</v>
      </c>
      <c r="CB29" s="1904">
        <v>58000</v>
      </c>
      <c r="CC29" s="1904">
        <v>81720</v>
      </c>
      <c r="CD29" s="1904">
        <v>66000</v>
      </c>
      <c r="CE29" s="1904">
        <v>388220</v>
      </c>
      <c r="CF29" s="1904">
        <v>90800</v>
      </c>
      <c r="CG29" s="1904">
        <v>82720</v>
      </c>
      <c r="CH29" s="1367">
        <v>67720</v>
      </c>
      <c r="CI29" s="1367">
        <v>5400</v>
      </c>
      <c r="CJ29" s="1367">
        <v>84000</v>
      </c>
      <c r="CK29" s="1367">
        <v>267610</v>
      </c>
      <c r="CL29" s="1367">
        <v>139000</v>
      </c>
      <c r="CM29" s="1367">
        <v>1125100</v>
      </c>
      <c r="CN29" s="1368">
        <v>8165020</v>
      </c>
      <c r="CO29" s="1367">
        <v>146550</v>
      </c>
      <c r="CP29" s="1366">
        <v>257500</v>
      </c>
      <c r="CQ29" s="1366">
        <v>0</v>
      </c>
      <c r="CR29" s="1367">
        <v>6802370</v>
      </c>
      <c r="CS29" s="1366">
        <v>958600</v>
      </c>
      <c r="CT29" s="1367">
        <v>0</v>
      </c>
      <c r="CU29" s="1367">
        <v>0</v>
      </c>
      <c r="CV29" s="1367">
        <v>0</v>
      </c>
      <c r="CW29" s="1367">
        <v>0</v>
      </c>
      <c r="CX29" s="1367">
        <v>0</v>
      </c>
      <c r="CY29" s="1353"/>
      <c r="CZ29" s="1361"/>
      <c r="DA29" s="1361"/>
      <c r="DB29" s="1361"/>
      <c r="DC29" s="1005"/>
    </row>
    <row r="30" spans="2:107" s="1005" customFormat="1" ht="17.100000000000001" customHeight="1">
      <c r="B30" s="2769" t="s">
        <v>221</v>
      </c>
      <c r="C30" s="2770"/>
      <c r="D30" s="1923">
        <f>D7-D12</f>
        <v>4244920336</v>
      </c>
      <c r="E30" s="911">
        <f t="shared" si="0"/>
        <v>1179433714</v>
      </c>
      <c r="F30" s="911">
        <v>976642578</v>
      </c>
      <c r="G30" s="911">
        <v>886324318</v>
      </c>
      <c r="H30" s="911">
        <v>1202519726</v>
      </c>
      <c r="I30" s="1923">
        <v>6172316232</v>
      </c>
      <c r="J30" s="911">
        <v>947806763</v>
      </c>
      <c r="K30" s="911">
        <v>915763481</v>
      </c>
      <c r="L30" s="911">
        <v>1171189211</v>
      </c>
      <c r="M30" s="911">
        <v>1165786947</v>
      </c>
      <c r="N30" s="911">
        <v>1075001716</v>
      </c>
      <c r="O30" s="911">
        <v>896768114</v>
      </c>
      <c r="P30" s="1923">
        <v>5788467937</v>
      </c>
      <c r="Q30" s="911">
        <v>1235111610.9999998</v>
      </c>
      <c r="R30" s="911">
        <v>980732081</v>
      </c>
      <c r="S30" s="911">
        <v>987120784</v>
      </c>
      <c r="T30" s="911">
        <v>708533519.80000019</v>
      </c>
      <c r="U30" s="911">
        <v>831046609.99999976</v>
      </c>
      <c r="V30" s="911">
        <v>1045923331.2</v>
      </c>
      <c r="W30" s="1923">
        <v>6046330393.3870964</v>
      </c>
      <c r="X30" s="911">
        <v>711502973</v>
      </c>
      <c r="Y30" s="911">
        <v>1046172325</v>
      </c>
      <c r="Z30" s="911">
        <v>1158082769</v>
      </c>
      <c r="AA30" s="911">
        <v>1064215968.3870964</v>
      </c>
      <c r="AB30" s="911">
        <v>1030155320</v>
      </c>
      <c r="AC30" s="911">
        <v>1036201038</v>
      </c>
      <c r="AD30" s="1923">
        <v>5670698156</v>
      </c>
      <c r="AE30" s="911">
        <v>1230113988</v>
      </c>
      <c r="AF30" s="911">
        <v>915615601</v>
      </c>
      <c r="AG30" s="911">
        <v>966226920</v>
      </c>
      <c r="AH30" s="911">
        <v>697365979</v>
      </c>
      <c r="AI30" s="911">
        <v>823859793</v>
      </c>
      <c r="AJ30" s="911">
        <v>1037515875</v>
      </c>
      <c r="AK30" s="1923">
        <v>5919348307.9265938</v>
      </c>
      <c r="AL30" s="911">
        <v>834294516.57142639</v>
      </c>
      <c r="AM30" s="911">
        <v>1003123306</v>
      </c>
      <c r="AN30" s="911">
        <v>1098774078</v>
      </c>
      <c r="AO30" s="911">
        <v>1053453653.0000005</v>
      </c>
      <c r="AP30" s="911">
        <v>944164022.00000024</v>
      </c>
      <c r="AQ30" s="911">
        <v>985538732.35516667</v>
      </c>
      <c r="AR30" s="1923">
        <v>-5511031339</v>
      </c>
      <c r="AS30" s="911">
        <v>-9921556437</v>
      </c>
      <c r="AT30" s="911">
        <v>993788901</v>
      </c>
      <c r="AU30" s="911">
        <v>936105227</v>
      </c>
      <c r="AV30" s="911">
        <v>651951725</v>
      </c>
      <c r="AW30" s="911">
        <v>889462242</v>
      </c>
      <c r="AX30" s="911">
        <v>939217003</v>
      </c>
      <c r="AY30" s="1923">
        <v>6147216622</v>
      </c>
      <c r="AZ30" s="911">
        <v>913018254</v>
      </c>
      <c r="BA30" s="911">
        <v>1024513729</v>
      </c>
      <c r="BB30" s="911">
        <v>1116174268</v>
      </c>
      <c r="BC30" s="911">
        <v>1178547348</v>
      </c>
      <c r="BD30" s="911">
        <v>975126711</v>
      </c>
      <c r="BE30" s="911">
        <v>939836312</v>
      </c>
      <c r="BF30" s="1923">
        <v>5380152225</v>
      </c>
      <c r="BG30" s="1896">
        <v>1155608153</v>
      </c>
      <c r="BH30" s="1896">
        <v>897872547</v>
      </c>
      <c r="BI30" s="1896">
        <v>950635178.66666603</v>
      </c>
      <c r="BJ30" s="1924">
        <v>650410862.33333397</v>
      </c>
      <c r="BK30" s="1924">
        <v>790491632</v>
      </c>
      <c r="BL30" s="1924">
        <v>935133852</v>
      </c>
      <c r="BM30" s="1923">
        <v>5895004099</v>
      </c>
      <c r="BN30" s="1924">
        <v>1073137187</v>
      </c>
      <c r="BO30" s="1924">
        <v>1004824386</v>
      </c>
      <c r="BP30" s="1924">
        <v>1094102872</v>
      </c>
      <c r="BQ30" s="1924">
        <v>970743937</v>
      </c>
      <c r="BR30" s="1924">
        <v>716475563</v>
      </c>
      <c r="BS30" s="1925">
        <v>1035720154</v>
      </c>
      <c r="BT30" s="1923">
        <v>5829505685.333334</v>
      </c>
      <c r="BU30" s="1924">
        <v>1209005252</v>
      </c>
      <c r="BV30" s="1926">
        <v>1117208649</v>
      </c>
      <c r="BW30" s="1926">
        <v>1126117976</v>
      </c>
      <c r="BX30" s="1926">
        <v>879003421.00000048</v>
      </c>
      <c r="BY30" s="1926">
        <v>701705531.33333349</v>
      </c>
      <c r="BZ30" s="1926">
        <v>796464856</v>
      </c>
      <c r="CA30" s="1926">
        <v>4767736045</v>
      </c>
      <c r="CB30" s="1926">
        <v>898094043</v>
      </c>
      <c r="CC30" s="1926">
        <v>810903356</v>
      </c>
      <c r="CD30" s="1926">
        <v>849303539</v>
      </c>
      <c r="CE30" s="1926">
        <v>457537478</v>
      </c>
      <c r="CF30" s="1926">
        <v>876448741</v>
      </c>
      <c r="CG30" s="1926">
        <v>875448888</v>
      </c>
      <c r="CH30" s="1387">
        <v>1045149382.8999996</v>
      </c>
      <c r="CI30" s="1387">
        <v>957447231.10000038</v>
      </c>
      <c r="CJ30" s="1387">
        <v>945273294.69999981</v>
      </c>
      <c r="CK30" s="1387">
        <v>882620046.30000019</v>
      </c>
      <c r="CL30" s="1387">
        <v>750318764</v>
      </c>
      <c r="CM30" s="1387">
        <v>861749611</v>
      </c>
      <c r="CN30" s="1387">
        <v>4267440887</v>
      </c>
      <c r="CO30" s="1387">
        <v>892636548</v>
      </c>
      <c r="CP30" s="1386">
        <v>960411006</v>
      </c>
      <c r="CQ30" s="1386">
        <v>1055890277</v>
      </c>
      <c r="CR30" s="1387">
        <v>678744557</v>
      </c>
      <c r="CS30" s="1362">
        <v>679758499</v>
      </c>
      <c r="CT30" s="1364">
        <v>0</v>
      </c>
      <c r="CU30" s="1364">
        <v>0</v>
      </c>
      <c r="CV30" s="1364">
        <v>0</v>
      </c>
      <c r="CW30" s="1364">
        <v>0</v>
      </c>
      <c r="CX30" s="1364">
        <v>0</v>
      </c>
      <c r="CY30" s="1353"/>
      <c r="CZ30" s="1361"/>
      <c r="DA30" s="1361"/>
      <c r="DB30" s="1361"/>
    </row>
    <row r="31" spans="2:107" s="1005" customFormat="1" ht="17.100000000000001" customHeight="1">
      <c r="B31" s="2769" t="s">
        <v>222</v>
      </c>
      <c r="C31" s="2770"/>
      <c r="D31" s="1895">
        <f>SUM(D32:D33)</f>
        <v>186634733</v>
      </c>
      <c r="E31" s="911">
        <f t="shared" si="0"/>
        <v>42443338</v>
      </c>
      <c r="F31" s="911">
        <v>42936615</v>
      </c>
      <c r="G31" s="911">
        <v>51522977</v>
      </c>
      <c r="H31" s="911">
        <v>49731803</v>
      </c>
      <c r="I31" s="1895">
        <v>273608777</v>
      </c>
      <c r="J31" s="911">
        <v>51200177</v>
      </c>
      <c r="K31" s="911">
        <v>39577894</v>
      </c>
      <c r="L31" s="911">
        <v>41150291</v>
      </c>
      <c r="M31" s="911">
        <v>42346176</v>
      </c>
      <c r="N31" s="911">
        <v>48896361</v>
      </c>
      <c r="O31" s="911">
        <v>50437878</v>
      </c>
      <c r="P31" s="1895">
        <v>259057082</v>
      </c>
      <c r="Q31" s="911">
        <v>43781376</v>
      </c>
      <c r="R31" s="911">
        <v>42918643</v>
      </c>
      <c r="S31" s="911">
        <v>42888837</v>
      </c>
      <c r="T31" s="911">
        <v>32629973</v>
      </c>
      <c r="U31" s="911">
        <v>49385484</v>
      </c>
      <c r="V31" s="911">
        <v>47452769</v>
      </c>
      <c r="W31" s="1895">
        <v>245139724</v>
      </c>
      <c r="X31" s="911">
        <v>47733525</v>
      </c>
      <c r="Y31" s="911">
        <v>36382664</v>
      </c>
      <c r="Z31" s="911">
        <v>38928003</v>
      </c>
      <c r="AA31" s="911">
        <v>32577433</v>
      </c>
      <c r="AB31" s="911">
        <v>43445431</v>
      </c>
      <c r="AC31" s="911">
        <v>46072668</v>
      </c>
      <c r="AD31" s="1895">
        <v>180706868</v>
      </c>
      <c r="AE31" s="911">
        <v>42617278</v>
      </c>
      <c r="AF31" s="911">
        <v>32079519</v>
      </c>
      <c r="AG31" s="911">
        <v>30467924</v>
      </c>
      <c r="AH31" s="911">
        <v>31737826</v>
      </c>
      <c r="AI31" s="911">
        <v>27083423</v>
      </c>
      <c r="AJ31" s="911">
        <v>16720898</v>
      </c>
      <c r="AK31" s="1895">
        <v>78887915</v>
      </c>
      <c r="AL31" s="911">
        <v>16495504</v>
      </c>
      <c r="AM31" s="911">
        <v>13930892</v>
      </c>
      <c r="AN31" s="911">
        <v>14393048</v>
      </c>
      <c r="AO31" s="911">
        <v>12682837</v>
      </c>
      <c r="AP31" s="911">
        <v>11930690</v>
      </c>
      <c r="AQ31" s="911">
        <v>9454944</v>
      </c>
      <c r="AR31" s="1895">
        <v>59429534</v>
      </c>
      <c r="AS31" s="911">
        <v>8348306</v>
      </c>
      <c r="AT31" s="911">
        <v>10278037</v>
      </c>
      <c r="AU31" s="911">
        <v>10014195</v>
      </c>
      <c r="AV31" s="911">
        <v>6509178</v>
      </c>
      <c r="AW31" s="911">
        <v>10823825</v>
      </c>
      <c r="AX31" s="911">
        <v>13455993</v>
      </c>
      <c r="AY31" s="1895">
        <v>78921191</v>
      </c>
      <c r="AZ31" s="911">
        <v>13794130</v>
      </c>
      <c r="BA31" s="911">
        <v>10948761</v>
      </c>
      <c r="BB31" s="911">
        <v>13390607</v>
      </c>
      <c r="BC31" s="911">
        <v>13637780</v>
      </c>
      <c r="BD31" s="911">
        <v>13389764</v>
      </c>
      <c r="BE31" s="911">
        <v>13760149</v>
      </c>
      <c r="BF31" s="1895">
        <v>80044201</v>
      </c>
      <c r="BG31" s="1896">
        <v>12685666</v>
      </c>
      <c r="BH31" s="1896">
        <v>13911223</v>
      </c>
      <c r="BI31" s="1896">
        <v>13898030</v>
      </c>
      <c r="BJ31" s="1897">
        <v>12762304</v>
      </c>
      <c r="BK31" s="1897">
        <v>19129993</v>
      </c>
      <c r="BL31" s="1897">
        <v>7656985</v>
      </c>
      <c r="BM31" s="1895">
        <v>123153711</v>
      </c>
      <c r="BN31" s="1897">
        <v>20536099</v>
      </c>
      <c r="BO31" s="1897">
        <v>19407016</v>
      </c>
      <c r="BP31" s="1897">
        <v>20722535</v>
      </c>
      <c r="BQ31" s="1897">
        <v>20680565</v>
      </c>
      <c r="BR31" s="1897">
        <v>20470645</v>
      </c>
      <c r="BS31" s="1898">
        <v>21336851</v>
      </c>
      <c r="BT31" s="1895">
        <v>160389516</v>
      </c>
      <c r="BU31" s="1897">
        <v>20440283</v>
      </c>
      <c r="BV31" s="1899">
        <v>20278483</v>
      </c>
      <c r="BW31" s="1899">
        <v>59509370</v>
      </c>
      <c r="BX31" s="1899">
        <v>19511381</v>
      </c>
      <c r="BY31" s="1899">
        <v>21265649</v>
      </c>
      <c r="BZ31" s="1899">
        <v>19384350</v>
      </c>
      <c r="CA31" s="1899">
        <v>114897923</v>
      </c>
      <c r="CB31" s="1899">
        <v>19567138</v>
      </c>
      <c r="CC31" s="1899">
        <v>15659339</v>
      </c>
      <c r="CD31" s="1899">
        <v>19483393</v>
      </c>
      <c r="CE31" s="1899">
        <v>19981450</v>
      </c>
      <c r="CF31" s="1899">
        <v>17811325</v>
      </c>
      <c r="CG31" s="1899">
        <v>22395278</v>
      </c>
      <c r="CH31" s="1364">
        <v>15513726</v>
      </c>
      <c r="CI31" s="1364">
        <v>16589024</v>
      </c>
      <c r="CJ31" s="1364">
        <v>18196145</v>
      </c>
      <c r="CK31" s="1364">
        <v>19121397</v>
      </c>
      <c r="CL31" s="1364">
        <v>12720868</v>
      </c>
      <c r="CM31" s="1364">
        <v>20649894</v>
      </c>
      <c r="CN31" s="1364">
        <v>97102858</v>
      </c>
      <c r="CO31" s="1364">
        <v>22024412</v>
      </c>
      <c r="CP31" s="1386">
        <v>-7612422</v>
      </c>
      <c r="CQ31" s="1362">
        <v>30941404</v>
      </c>
      <c r="CR31" s="1364">
        <v>30403394</v>
      </c>
      <c r="CS31" s="1362">
        <v>21283605</v>
      </c>
      <c r="CT31" s="1362">
        <v>62465</v>
      </c>
      <c r="CU31" s="1362">
        <v>0</v>
      </c>
      <c r="CV31" s="1362">
        <v>0</v>
      </c>
      <c r="CW31" s="1362">
        <v>0</v>
      </c>
      <c r="CX31" s="1362">
        <v>0</v>
      </c>
      <c r="CY31" s="1353"/>
      <c r="CZ31" s="1361"/>
      <c r="DA31" s="1361"/>
      <c r="DB31" s="1361"/>
    </row>
    <row r="32" spans="2:107" s="974" customFormat="1" ht="17.100000000000001" customHeight="1">
      <c r="B32" s="1887"/>
      <c r="C32" s="9" t="s">
        <v>853</v>
      </c>
      <c r="D32" s="1900">
        <v>186625792</v>
      </c>
      <c r="E32" s="913">
        <f t="shared" si="0"/>
        <v>42440954</v>
      </c>
      <c r="F32" s="913">
        <v>42934135</v>
      </c>
      <c r="G32" s="913">
        <v>51520939</v>
      </c>
      <c r="H32" s="913">
        <v>49729764</v>
      </c>
      <c r="I32" s="1900">
        <v>273440243</v>
      </c>
      <c r="J32" s="913">
        <v>51197901</v>
      </c>
      <c r="K32" s="913">
        <v>39506174</v>
      </c>
      <c r="L32" s="913">
        <v>41093474</v>
      </c>
      <c r="M32" s="913">
        <v>42344033</v>
      </c>
      <c r="N32" s="913">
        <v>48881060</v>
      </c>
      <c r="O32" s="913">
        <v>50417601</v>
      </c>
      <c r="P32" s="1900">
        <v>258967010</v>
      </c>
      <c r="Q32" s="913">
        <v>43737490</v>
      </c>
      <c r="R32" s="913">
        <v>42916308</v>
      </c>
      <c r="S32" s="913">
        <v>42886439</v>
      </c>
      <c r="T32" s="913">
        <v>32627687</v>
      </c>
      <c r="U32" s="913">
        <v>49374649</v>
      </c>
      <c r="V32" s="913">
        <v>47424437</v>
      </c>
      <c r="W32" s="1900">
        <v>245053347</v>
      </c>
      <c r="X32" s="913">
        <v>47731262</v>
      </c>
      <c r="Y32" s="913">
        <v>36380404</v>
      </c>
      <c r="Z32" s="913">
        <v>38925619</v>
      </c>
      <c r="AA32" s="913">
        <v>32575140</v>
      </c>
      <c r="AB32" s="913">
        <v>43443077</v>
      </c>
      <c r="AC32" s="913">
        <v>45997845</v>
      </c>
      <c r="AD32" s="1900">
        <v>178892453</v>
      </c>
      <c r="AE32" s="913">
        <v>42614985</v>
      </c>
      <c r="AF32" s="913">
        <v>32077105</v>
      </c>
      <c r="AG32" s="913">
        <v>30455443</v>
      </c>
      <c r="AH32" s="913">
        <v>30187762</v>
      </c>
      <c r="AI32" s="913">
        <v>27080944</v>
      </c>
      <c r="AJ32" s="913">
        <v>16476214</v>
      </c>
      <c r="AK32" s="1900">
        <v>78870084</v>
      </c>
      <c r="AL32" s="913">
        <v>16490755</v>
      </c>
      <c r="AM32" s="913">
        <v>13928799</v>
      </c>
      <c r="AN32" s="913">
        <v>14389482</v>
      </c>
      <c r="AO32" s="913">
        <v>12680657</v>
      </c>
      <c r="AP32" s="913">
        <v>11928356</v>
      </c>
      <c r="AQ32" s="913">
        <v>9452035</v>
      </c>
      <c r="AR32" s="1900">
        <v>59340595</v>
      </c>
      <c r="AS32" s="913">
        <v>8313410</v>
      </c>
      <c r="AT32" s="913">
        <v>10263130</v>
      </c>
      <c r="AU32" s="913">
        <v>10007060</v>
      </c>
      <c r="AV32" s="913">
        <v>6506867</v>
      </c>
      <c r="AW32" s="913">
        <v>10821537</v>
      </c>
      <c r="AX32" s="913">
        <v>13428591</v>
      </c>
      <c r="AY32" s="1900">
        <v>78803977</v>
      </c>
      <c r="AZ32" s="913">
        <v>13769381</v>
      </c>
      <c r="BA32" s="913">
        <v>10915345</v>
      </c>
      <c r="BB32" s="913">
        <v>13375780</v>
      </c>
      <c r="BC32" s="913">
        <v>13607814</v>
      </c>
      <c r="BD32" s="913">
        <v>13382371</v>
      </c>
      <c r="BE32" s="913">
        <v>13753286</v>
      </c>
      <c r="BF32" s="1900">
        <v>77163605</v>
      </c>
      <c r="BG32" s="1901">
        <v>12683011</v>
      </c>
      <c r="BH32" s="1901">
        <v>13903811</v>
      </c>
      <c r="BI32" s="1901">
        <v>13878514</v>
      </c>
      <c r="BJ32" s="1902">
        <v>10619351</v>
      </c>
      <c r="BK32" s="1902">
        <v>19046929</v>
      </c>
      <c r="BL32" s="1902">
        <v>7031989</v>
      </c>
      <c r="BM32" s="1900">
        <v>122086896</v>
      </c>
      <c r="BN32" s="1902">
        <v>20531958</v>
      </c>
      <c r="BO32" s="1902">
        <v>19178595</v>
      </c>
      <c r="BP32" s="1902">
        <v>20533899</v>
      </c>
      <c r="BQ32" s="1902">
        <v>20642579</v>
      </c>
      <c r="BR32" s="1902">
        <v>20241248</v>
      </c>
      <c r="BS32" s="1903">
        <v>20958617</v>
      </c>
      <c r="BT32" s="1900">
        <v>120528583</v>
      </c>
      <c r="BU32" s="1902">
        <v>20074671</v>
      </c>
      <c r="BV32" s="1904">
        <v>20274446</v>
      </c>
      <c r="BW32" s="1904">
        <v>20202228</v>
      </c>
      <c r="BX32" s="1904">
        <v>19477987</v>
      </c>
      <c r="BY32" s="1904">
        <v>21261722</v>
      </c>
      <c r="BZ32" s="1904">
        <v>19237529</v>
      </c>
      <c r="CA32" s="1905">
        <v>114814021</v>
      </c>
      <c r="CB32" s="1904">
        <v>19552010</v>
      </c>
      <c r="CC32" s="1904">
        <v>15629916</v>
      </c>
      <c r="CD32" s="1904">
        <v>19468057</v>
      </c>
      <c r="CE32" s="1904">
        <v>19962758</v>
      </c>
      <c r="CF32" s="1904">
        <v>17808344</v>
      </c>
      <c r="CG32" s="1904">
        <v>22392936</v>
      </c>
      <c r="CH32" s="1367">
        <v>15488443</v>
      </c>
      <c r="CI32" s="1367">
        <v>16586685</v>
      </c>
      <c r="CJ32" s="1367">
        <v>18150743</v>
      </c>
      <c r="CK32" s="1367">
        <v>19119633</v>
      </c>
      <c r="CL32" s="1367">
        <v>12718747</v>
      </c>
      <c r="CM32" s="1367">
        <v>20647646</v>
      </c>
      <c r="CN32" s="1368">
        <v>96974183</v>
      </c>
      <c r="CO32" s="1367">
        <v>22013154</v>
      </c>
      <c r="CP32" s="1388">
        <v>-7689730</v>
      </c>
      <c r="CQ32" s="1366">
        <v>30929977</v>
      </c>
      <c r="CR32" s="1367">
        <v>30376915</v>
      </c>
      <c r="CS32" s="1366">
        <v>21281402</v>
      </c>
      <c r="CT32" s="1366">
        <v>62465</v>
      </c>
      <c r="CU32" s="1366">
        <v>0</v>
      </c>
      <c r="CV32" s="1366">
        <v>0</v>
      </c>
      <c r="CW32" s="1366">
        <v>0</v>
      </c>
      <c r="CX32" s="1366">
        <v>0</v>
      </c>
      <c r="CY32" s="1353"/>
      <c r="CZ32" s="1361"/>
      <c r="DA32" s="1361"/>
      <c r="DB32" s="1361"/>
      <c r="DC32" s="1005"/>
    </row>
    <row r="33" spans="2:107" s="974" customFormat="1" ht="17.100000000000001" customHeight="1">
      <c r="B33" s="438"/>
      <c r="C33" s="1889" t="s">
        <v>854</v>
      </c>
      <c r="D33" s="1906">
        <v>8941</v>
      </c>
      <c r="E33" s="913">
        <f t="shared" si="0"/>
        <v>2384</v>
      </c>
      <c r="F33" s="913">
        <v>2480</v>
      </c>
      <c r="G33" s="913">
        <v>2038</v>
      </c>
      <c r="H33" s="913">
        <v>2039</v>
      </c>
      <c r="I33" s="1906">
        <v>168534</v>
      </c>
      <c r="J33" s="913">
        <v>2276</v>
      </c>
      <c r="K33" s="913">
        <v>71720</v>
      </c>
      <c r="L33" s="913">
        <v>56817</v>
      </c>
      <c r="M33" s="913">
        <v>2143</v>
      </c>
      <c r="N33" s="913">
        <v>15301</v>
      </c>
      <c r="O33" s="913">
        <v>20277</v>
      </c>
      <c r="P33" s="1906">
        <v>90072</v>
      </c>
      <c r="Q33" s="913">
        <v>43886</v>
      </c>
      <c r="R33" s="913">
        <v>2335</v>
      </c>
      <c r="S33" s="913">
        <v>2398</v>
      </c>
      <c r="T33" s="913">
        <v>2286</v>
      </c>
      <c r="U33" s="913">
        <v>10835</v>
      </c>
      <c r="V33" s="913">
        <v>28332</v>
      </c>
      <c r="W33" s="1906">
        <v>86377</v>
      </c>
      <c r="X33" s="913">
        <v>2263</v>
      </c>
      <c r="Y33" s="913">
        <v>2260</v>
      </c>
      <c r="Z33" s="913">
        <v>2384</v>
      </c>
      <c r="AA33" s="913">
        <v>2293</v>
      </c>
      <c r="AB33" s="913">
        <v>2354</v>
      </c>
      <c r="AC33" s="913">
        <v>74823</v>
      </c>
      <c r="AD33" s="1906">
        <v>1814415</v>
      </c>
      <c r="AE33" s="913">
        <v>2293</v>
      </c>
      <c r="AF33" s="913">
        <v>2414</v>
      </c>
      <c r="AG33" s="913">
        <v>12481</v>
      </c>
      <c r="AH33" s="913">
        <v>1550064</v>
      </c>
      <c r="AI33" s="913">
        <v>2479</v>
      </c>
      <c r="AJ33" s="913">
        <v>244684</v>
      </c>
      <c r="AK33" s="1906">
        <v>17831</v>
      </c>
      <c r="AL33" s="913">
        <v>4749</v>
      </c>
      <c r="AM33" s="913">
        <v>2093</v>
      </c>
      <c r="AN33" s="913">
        <v>3566</v>
      </c>
      <c r="AO33" s="913">
        <v>2180</v>
      </c>
      <c r="AP33" s="913">
        <v>2334</v>
      </c>
      <c r="AQ33" s="913">
        <v>2909</v>
      </c>
      <c r="AR33" s="1906">
        <v>88939</v>
      </c>
      <c r="AS33" s="913">
        <v>34896</v>
      </c>
      <c r="AT33" s="913">
        <v>14907</v>
      </c>
      <c r="AU33" s="913">
        <v>7135</v>
      </c>
      <c r="AV33" s="913">
        <v>2311</v>
      </c>
      <c r="AW33" s="913">
        <v>2288</v>
      </c>
      <c r="AX33" s="913">
        <v>27402</v>
      </c>
      <c r="AY33" s="1906">
        <v>117214</v>
      </c>
      <c r="AZ33" s="913">
        <v>24749</v>
      </c>
      <c r="BA33" s="913">
        <v>33416</v>
      </c>
      <c r="BB33" s="913">
        <v>14827</v>
      </c>
      <c r="BC33" s="913">
        <v>29966</v>
      </c>
      <c r="BD33" s="913">
        <v>7393</v>
      </c>
      <c r="BE33" s="913">
        <v>6863</v>
      </c>
      <c r="BF33" s="1900">
        <v>2880596</v>
      </c>
      <c r="BG33" s="1901">
        <v>2655</v>
      </c>
      <c r="BH33" s="1901">
        <v>7412</v>
      </c>
      <c r="BI33" s="1901">
        <v>19516</v>
      </c>
      <c r="BJ33" s="1927">
        <v>2142953</v>
      </c>
      <c r="BK33" s="1927">
        <v>83064</v>
      </c>
      <c r="BL33" s="1927">
        <v>624996</v>
      </c>
      <c r="BM33" s="1900">
        <v>1066815</v>
      </c>
      <c r="BN33" s="1927">
        <v>4141</v>
      </c>
      <c r="BO33" s="1927">
        <v>228421</v>
      </c>
      <c r="BP33" s="1927">
        <v>188636</v>
      </c>
      <c r="BQ33" s="1927">
        <v>37986</v>
      </c>
      <c r="BR33" s="1927">
        <v>229397</v>
      </c>
      <c r="BS33" s="1903">
        <v>378234</v>
      </c>
      <c r="BT33" s="1900">
        <v>39860933</v>
      </c>
      <c r="BU33" s="1927">
        <v>365612</v>
      </c>
      <c r="BV33" s="1927">
        <v>4037</v>
      </c>
      <c r="BW33" s="1927">
        <v>39307142</v>
      </c>
      <c r="BX33" s="1927">
        <v>33394</v>
      </c>
      <c r="BY33" s="1927">
        <v>3927</v>
      </c>
      <c r="BZ33" s="1927">
        <v>146821</v>
      </c>
      <c r="CA33" s="1928">
        <v>83902</v>
      </c>
      <c r="CB33" s="1927">
        <v>15128</v>
      </c>
      <c r="CC33" s="1927">
        <v>29423</v>
      </c>
      <c r="CD33" s="1927">
        <v>15336</v>
      </c>
      <c r="CE33" s="1927">
        <v>18692</v>
      </c>
      <c r="CF33" s="1927">
        <v>2981</v>
      </c>
      <c r="CG33" s="1927">
        <v>2342</v>
      </c>
      <c r="CH33" s="1388">
        <v>25283</v>
      </c>
      <c r="CI33" s="1388">
        <v>2339</v>
      </c>
      <c r="CJ33" s="1388">
        <v>45402</v>
      </c>
      <c r="CK33" s="1388">
        <v>1764</v>
      </c>
      <c r="CL33" s="1388">
        <v>2121</v>
      </c>
      <c r="CM33" s="1388">
        <v>2248</v>
      </c>
      <c r="CN33" s="1389">
        <v>128675</v>
      </c>
      <c r="CO33" s="1388">
        <v>11258</v>
      </c>
      <c r="CP33" s="1390">
        <v>77308</v>
      </c>
      <c r="CQ33" s="1390">
        <v>11427</v>
      </c>
      <c r="CR33" s="1391">
        <v>26479</v>
      </c>
      <c r="CS33" s="1390">
        <v>2203</v>
      </c>
      <c r="CT33" s="1390">
        <v>0</v>
      </c>
      <c r="CU33" s="1390">
        <v>0</v>
      </c>
      <c r="CV33" s="1390">
        <v>0</v>
      </c>
      <c r="CW33" s="1390">
        <v>0</v>
      </c>
      <c r="CX33" s="1390">
        <v>0</v>
      </c>
      <c r="CY33" s="1353"/>
      <c r="CZ33" s="1361"/>
      <c r="DA33" s="1361"/>
      <c r="DB33" s="1361"/>
      <c r="DC33" s="1005"/>
    </row>
    <row r="34" spans="2:107" s="1005" customFormat="1" ht="17.100000000000001" customHeight="1">
      <c r="B34" s="2769" t="s">
        <v>223</v>
      </c>
      <c r="C34" s="2770"/>
      <c r="D34" s="1895">
        <f>SUM(D35:D36)</f>
        <v>2551333320</v>
      </c>
      <c r="E34" s="911">
        <f t="shared" si="0"/>
        <v>648289614</v>
      </c>
      <c r="F34" s="911">
        <v>627377046</v>
      </c>
      <c r="G34" s="911">
        <v>648289614</v>
      </c>
      <c r="H34" s="911">
        <v>627377046</v>
      </c>
      <c r="I34" s="1895">
        <v>3832271095</v>
      </c>
      <c r="J34" s="911">
        <v>648289614</v>
      </c>
      <c r="K34" s="911">
        <v>606464480</v>
      </c>
      <c r="L34" s="911">
        <v>648289614</v>
      </c>
      <c r="M34" s="911">
        <v>650065750</v>
      </c>
      <c r="N34" s="911">
        <v>629095887</v>
      </c>
      <c r="O34" s="911">
        <v>650065750</v>
      </c>
      <c r="P34" s="1895">
        <v>3924182236</v>
      </c>
      <c r="Q34" s="911">
        <v>629095887</v>
      </c>
      <c r="R34" s="911">
        <v>650065750</v>
      </c>
      <c r="S34" s="911">
        <v>650065750</v>
      </c>
      <c r="T34" s="911">
        <v>715793212</v>
      </c>
      <c r="U34" s="911">
        <v>650065750</v>
      </c>
      <c r="V34" s="911">
        <v>629095887</v>
      </c>
      <c r="W34" s="1895">
        <v>3816515049</v>
      </c>
      <c r="X34" s="911">
        <v>650065750</v>
      </c>
      <c r="Y34" s="911">
        <v>587156162</v>
      </c>
      <c r="Z34" s="911">
        <v>650065750</v>
      </c>
      <c r="AA34" s="911">
        <v>650065750</v>
      </c>
      <c r="AB34" s="911">
        <v>629095887</v>
      </c>
      <c r="AC34" s="911">
        <v>650065750</v>
      </c>
      <c r="AD34" s="1895">
        <v>3837625600</v>
      </c>
      <c r="AE34" s="911">
        <v>629095887</v>
      </c>
      <c r="AF34" s="911">
        <v>650206439</v>
      </c>
      <c r="AG34" s="911">
        <v>650065750</v>
      </c>
      <c r="AH34" s="911">
        <v>629095887</v>
      </c>
      <c r="AI34" s="911">
        <v>650065750</v>
      </c>
      <c r="AJ34" s="911">
        <v>629095887</v>
      </c>
      <c r="AK34" s="1895">
        <v>3816579212</v>
      </c>
      <c r="AL34" s="911">
        <v>653446143</v>
      </c>
      <c r="AM34" s="911">
        <v>585551911</v>
      </c>
      <c r="AN34" s="911">
        <v>648353181</v>
      </c>
      <c r="AO34" s="911">
        <v>650065750</v>
      </c>
      <c r="AP34" s="911">
        <v>629096477</v>
      </c>
      <c r="AQ34" s="911">
        <v>650065750</v>
      </c>
      <c r="AR34" s="1895">
        <v>4242644574</v>
      </c>
      <c r="AS34" s="911">
        <v>827302297</v>
      </c>
      <c r="AT34" s="911">
        <v>691997455</v>
      </c>
      <c r="AU34" s="911">
        <v>691997455</v>
      </c>
      <c r="AV34" s="911">
        <v>669674956</v>
      </c>
      <c r="AW34" s="911">
        <v>691997455</v>
      </c>
      <c r="AX34" s="911">
        <v>669674956</v>
      </c>
      <c r="AY34" s="1895">
        <v>4057083614</v>
      </c>
      <c r="AZ34" s="911">
        <v>691997455</v>
      </c>
      <c r="BA34" s="911">
        <v>625029960</v>
      </c>
      <c r="BB34" s="911">
        <v>691997455</v>
      </c>
      <c r="BC34" s="911">
        <v>690106751</v>
      </c>
      <c r="BD34" s="911">
        <v>667845242</v>
      </c>
      <c r="BE34" s="911">
        <v>690106751</v>
      </c>
      <c r="BF34" s="1895">
        <v>4073862109</v>
      </c>
      <c r="BG34" s="1896">
        <v>667845242</v>
      </c>
      <c r="BH34" s="1896">
        <v>690106751</v>
      </c>
      <c r="BI34" s="1896">
        <v>690112881</v>
      </c>
      <c r="BJ34" s="1897">
        <v>667845242</v>
      </c>
      <c r="BK34" s="1897">
        <v>690106751</v>
      </c>
      <c r="BL34" s="1897">
        <v>667845242</v>
      </c>
      <c r="BM34" s="1895">
        <v>4079467103</v>
      </c>
      <c r="BN34" s="1897">
        <v>690106751</v>
      </c>
      <c r="BO34" s="1897">
        <v>645583735</v>
      </c>
      <c r="BP34" s="1897">
        <v>690106751</v>
      </c>
      <c r="BQ34" s="1897">
        <v>691997455</v>
      </c>
      <c r="BR34" s="1897">
        <v>669674956</v>
      </c>
      <c r="BS34" s="1898">
        <v>691997455</v>
      </c>
      <c r="BT34" s="1895">
        <v>4085017247</v>
      </c>
      <c r="BU34" s="1897">
        <v>669674958</v>
      </c>
      <c r="BV34" s="1899">
        <v>691997459</v>
      </c>
      <c r="BW34" s="1899">
        <v>691997456</v>
      </c>
      <c r="BX34" s="1899">
        <v>669674958</v>
      </c>
      <c r="BY34" s="1899">
        <v>691997459</v>
      </c>
      <c r="BZ34" s="1899">
        <v>669674957</v>
      </c>
      <c r="CA34" s="1899">
        <v>4062694746</v>
      </c>
      <c r="CB34" s="1899">
        <v>691997459</v>
      </c>
      <c r="CC34" s="1899">
        <v>625029957</v>
      </c>
      <c r="CD34" s="1899">
        <v>691997458</v>
      </c>
      <c r="CE34" s="1899">
        <v>691997458</v>
      </c>
      <c r="CF34" s="1899">
        <v>669674956</v>
      </c>
      <c r="CG34" s="1899">
        <v>691997458</v>
      </c>
      <c r="CH34" s="1364">
        <v>669674958</v>
      </c>
      <c r="CI34" s="1364">
        <v>691997459</v>
      </c>
      <c r="CJ34" s="1364">
        <v>691997459</v>
      </c>
      <c r="CK34" s="1364">
        <v>669674958</v>
      </c>
      <c r="CL34" s="1364">
        <v>691997459</v>
      </c>
      <c r="CM34" s="1364">
        <v>669674956</v>
      </c>
      <c r="CN34" s="1364">
        <v>3203694834</v>
      </c>
      <c r="CO34" s="1364">
        <v>692030458</v>
      </c>
      <c r="CP34" s="1362">
        <v>625029967</v>
      </c>
      <c r="CQ34" s="1362">
        <v>677028695</v>
      </c>
      <c r="CR34" s="1364">
        <v>707866361</v>
      </c>
      <c r="CS34" s="1362">
        <v>501739353</v>
      </c>
      <c r="CT34" s="1364">
        <v>0</v>
      </c>
      <c r="CU34" s="1364">
        <v>0</v>
      </c>
      <c r="CV34" s="1364">
        <v>0</v>
      </c>
      <c r="CW34" s="1364">
        <v>0</v>
      </c>
      <c r="CX34" s="1364">
        <v>0</v>
      </c>
      <c r="CY34" s="1353"/>
      <c r="CZ34" s="1361"/>
      <c r="DA34" s="1361"/>
      <c r="DB34" s="1361"/>
    </row>
    <row r="35" spans="2:107" s="974" customFormat="1" ht="17.100000000000001" customHeight="1">
      <c r="B35" s="1887"/>
      <c r="C35" s="9" t="s">
        <v>224</v>
      </c>
      <c r="D35" s="1900">
        <v>2551333320</v>
      </c>
      <c r="E35" s="913">
        <f t="shared" si="0"/>
        <v>648289614</v>
      </c>
      <c r="F35" s="913">
        <v>627377046</v>
      </c>
      <c r="G35" s="913">
        <v>648289614</v>
      </c>
      <c r="H35" s="913">
        <v>627377046</v>
      </c>
      <c r="I35" s="1900">
        <v>3832271095</v>
      </c>
      <c r="J35" s="913">
        <v>648289614</v>
      </c>
      <c r="K35" s="913">
        <v>606464480</v>
      </c>
      <c r="L35" s="913">
        <v>648289614</v>
      </c>
      <c r="M35" s="913">
        <v>650065750</v>
      </c>
      <c r="N35" s="913">
        <v>629095887</v>
      </c>
      <c r="O35" s="913">
        <v>650065750</v>
      </c>
      <c r="P35" s="1900">
        <v>3837484911</v>
      </c>
      <c r="Q35" s="913">
        <v>629095887</v>
      </c>
      <c r="R35" s="913">
        <v>650065750</v>
      </c>
      <c r="S35" s="913">
        <v>650065750</v>
      </c>
      <c r="T35" s="913">
        <v>629095887</v>
      </c>
      <c r="U35" s="913">
        <v>650065750</v>
      </c>
      <c r="V35" s="913">
        <v>629095887</v>
      </c>
      <c r="W35" s="1900">
        <v>3816515049</v>
      </c>
      <c r="X35" s="913">
        <v>650065750</v>
      </c>
      <c r="Y35" s="913">
        <v>587156162</v>
      </c>
      <c r="Z35" s="913">
        <v>650065750</v>
      </c>
      <c r="AA35" s="913">
        <v>650065750</v>
      </c>
      <c r="AB35" s="913">
        <v>629095887</v>
      </c>
      <c r="AC35" s="913">
        <v>650065750</v>
      </c>
      <c r="AD35" s="1900">
        <v>3837484911</v>
      </c>
      <c r="AE35" s="913">
        <v>629095887</v>
      </c>
      <c r="AF35" s="913">
        <v>650065750</v>
      </c>
      <c r="AG35" s="913">
        <v>650065750</v>
      </c>
      <c r="AH35" s="913">
        <v>629095887</v>
      </c>
      <c r="AI35" s="913">
        <v>650065750</v>
      </c>
      <c r="AJ35" s="913">
        <v>629095887</v>
      </c>
      <c r="AK35" s="1900">
        <v>3816515055</v>
      </c>
      <c r="AL35" s="913">
        <v>653446143</v>
      </c>
      <c r="AM35" s="913">
        <v>585551911</v>
      </c>
      <c r="AN35" s="913">
        <v>648289614</v>
      </c>
      <c r="AO35" s="913">
        <v>650065750</v>
      </c>
      <c r="AP35" s="913">
        <v>629095887</v>
      </c>
      <c r="AQ35" s="913">
        <v>650065750</v>
      </c>
      <c r="AR35" s="1900">
        <v>4155479948</v>
      </c>
      <c r="AS35" s="913">
        <v>740137671</v>
      </c>
      <c r="AT35" s="913">
        <v>691997455</v>
      </c>
      <c r="AU35" s="913">
        <v>691997455</v>
      </c>
      <c r="AV35" s="913">
        <v>669674956</v>
      </c>
      <c r="AW35" s="913">
        <v>691997455</v>
      </c>
      <c r="AX35" s="913">
        <v>669674956</v>
      </c>
      <c r="AY35" s="1900">
        <v>4057083614</v>
      </c>
      <c r="AZ35" s="913">
        <v>691997455</v>
      </c>
      <c r="BA35" s="913">
        <v>625029960</v>
      </c>
      <c r="BB35" s="913">
        <v>691997455</v>
      </c>
      <c r="BC35" s="913">
        <v>690106751</v>
      </c>
      <c r="BD35" s="913">
        <v>667845242</v>
      </c>
      <c r="BE35" s="913">
        <v>690106751</v>
      </c>
      <c r="BF35" s="1900">
        <v>4073855979</v>
      </c>
      <c r="BG35" s="1901">
        <v>667845242</v>
      </c>
      <c r="BH35" s="1901">
        <v>690106751</v>
      </c>
      <c r="BI35" s="1901">
        <v>690106751</v>
      </c>
      <c r="BJ35" s="1902">
        <v>667845242</v>
      </c>
      <c r="BK35" s="1902">
        <v>690106751</v>
      </c>
      <c r="BL35" s="1902">
        <v>667845242</v>
      </c>
      <c r="BM35" s="1900">
        <v>4079467103</v>
      </c>
      <c r="BN35" s="1902">
        <v>690106751</v>
      </c>
      <c r="BO35" s="1902">
        <v>645583735</v>
      </c>
      <c r="BP35" s="1902">
        <v>690106751</v>
      </c>
      <c r="BQ35" s="1902">
        <v>691997455</v>
      </c>
      <c r="BR35" s="1902">
        <v>669674956</v>
      </c>
      <c r="BS35" s="1903">
        <v>691997455</v>
      </c>
      <c r="BT35" s="1900">
        <v>4085017247</v>
      </c>
      <c r="BU35" s="1902">
        <v>669674958</v>
      </c>
      <c r="BV35" s="1904">
        <v>691997459</v>
      </c>
      <c r="BW35" s="1904">
        <v>691997456</v>
      </c>
      <c r="BX35" s="1904">
        <v>669674958</v>
      </c>
      <c r="BY35" s="1904">
        <v>691997459</v>
      </c>
      <c r="BZ35" s="1904">
        <v>669674957</v>
      </c>
      <c r="CA35" s="1905">
        <v>4062694746</v>
      </c>
      <c r="CB35" s="1904">
        <v>691997459</v>
      </c>
      <c r="CC35" s="1904">
        <v>625029957</v>
      </c>
      <c r="CD35" s="1904">
        <v>691997458</v>
      </c>
      <c r="CE35" s="1904">
        <v>691997458</v>
      </c>
      <c r="CF35" s="1904">
        <v>669674956</v>
      </c>
      <c r="CG35" s="1904">
        <v>691997458</v>
      </c>
      <c r="CH35" s="1367">
        <v>669674958</v>
      </c>
      <c r="CI35" s="1367">
        <v>691997454</v>
      </c>
      <c r="CJ35" s="1367">
        <v>691997459</v>
      </c>
      <c r="CK35" s="1367">
        <v>669674958</v>
      </c>
      <c r="CL35" s="1367">
        <v>691997459</v>
      </c>
      <c r="CM35" s="1367">
        <v>669674956</v>
      </c>
      <c r="CN35" s="1368">
        <v>3202791821</v>
      </c>
      <c r="CO35" s="1367">
        <v>691997458</v>
      </c>
      <c r="CP35" s="1366">
        <v>625029958</v>
      </c>
      <c r="CQ35" s="1366">
        <v>677028691</v>
      </c>
      <c r="CR35" s="1367">
        <v>706996361</v>
      </c>
      <c r="CS35" s="1366">
        <v>501739353</v>
      </c>
      <c r="CT35" s="1367">
        <v>0</v>
      </c>
      <c r="CU35" s="1367">
        <v>0</v>
      </c>
      <c r="CV35" s="1367">
        <v>0</v>
      </c>
      <c r="CW35" s="1367">
        <v>0</v>
      </c>
      <c r="CX35" s="1367">
        <v>0</v>
      </c>
      <c r="CY35" s="1353"/>
      <c r="CZ35" s="1378"/>
      <c r="DA35" s="1361"/>
      <c r="DB35" s="1361"/>
      <c r="DC35" s="1005"/>
    </row>
    <row r="36" spans="2:107" s="1379" customFormat="1" ht="17.100000000000001" customHeight="1">
      <c r="B36" s="439"/>
      <c r="C36" s="1890" t="s">
        <v>855</v>
      </c>
      <c r="D36" s="1929">
        <v>0</v>
      </c>
      <c r="E36" s="1930">
        <f t="shared" si="0"/>
        <v>0</v>
      </c>
      <c r="F36" s="1930">
        <v>0</v>
      </c>
      <c r="G36" s="1930">
        <v>0</v>
      </c>
      <c r="H36" s="1930">
        <v>0</v>
      </c>
      <c r="I36" s="1929">
        <v>0</v>
      </c>
      <c r="J36" s="1930">
        <v>0</v>
      </c>
      <c r="K36" s="1930">
        <v>0</v>
      </c>
      <c r="L36" s="1930">
        <v>0</v>
      </c>
      <c r="M36" s="1930">
        <v>0</v>
      </c>
      <c r="N36" s="1930">
        <v>0</v>
      </c>
      <c r="O36" s="1930">
        <v>0</v>
      </c>
      <c r="P36" s="1929">
        <v>86697325</v>
      </c>
      <c r="Q36" s="1930">
        <v>0</v>
      </c>
      <c r="R36" s="1930">
        <v>0</v>
      </c>
      <c r="S36" s="1930">
        <v>0</v>
      </c>
      <c r="T36" s="1930">
        <v>86697325</v>
      </c>
      <c r="U36" s="1930">
        <v>0</v>
      </c>
      <c r="V36" s="1930">
        <v>0</v>
      </c>
      <c r="W36" s="1929">
        <v>0</v>
      </c>
      <c r="X36" s="1930">
        <v>0</v>
      </c>
      <c r="Y36" s="1930">
        <v>0</v>
      </c>
      <c r="Z36" s="1930">
        <v>0</v>
      </c>
      <c r="AA36" s="1930">
        <v>0</v>
      </c>
      <c r="AB36" s="1930">
        <v>0</v>
      </c>
      <c r="AC36" s="1930">
        <v>0</v>
      </c>
      <c r="AD36" s="1929">
        <v>140689</v>
      </c>
      <c r="AE36" s="1930">
        <v>0</v>
      </c>
      <c r="AF36" s="1930">
        <v>140689</v>
      </c>
      <c r="AG36" s="1930">
        <v>0</v>
      </c>
      <c r="AH36" s="1930">
        <v>0</v>
      </c>
      <c r="AI36" s="1930">
        <v>0</v>
      </c>
      <c r="AJ36" s="1930">
        <v>0</v>
      </c>
      <c r="AK36" s="1929">
        <v>64157</v>
      </c>
      <c r="AL36" s="1930">
        <v>0</v>
      </c>
      <c r="AM36" s="1930">
        <v>0</v>
      </c>
      <c r="AN36" s="1930">
        <v>63567</v>
      </c>
      <c r="AO36" s="1930">
        <v>0</v>
      </c>
      <c r="AP36" s="1930">
        <v>590</v>
      </c>
      <c r="AQ36" s="1930">
        <v>0</v>
      </c>
      <c r="AR36" s="1929">
        <v>87164626</v>
      </c>
      <c r="AS36" s="1930">
        <v>87164626</v>
      </c>
      <c r="AT36" s="1930">
        <v>0</v>
      </c>
      <c r="AU36" s="1930">
        <v>0</v>
      </c>
      <c r="AV36" s="1930">
        <v>0</v>
      </c>
      <c r="AW36" s="1930">
        <v>0</v>
      </c>
      <c r="AX36" s="1930">
        <v>0</v>
      </c>
      <c r="AY36" s="1929">
        <v>0</v>
      </c>
      <c r="AZ36" s="1930">
        <v>0</v>
      </c>
      <c r="BA36" s="1930">
        <v>0</v>
      </c>
      <c r="BB36" s="1930">
        <v>0</v>
      </c>
      <c r="BC36" s="1930">
        <v>0</v>
      </c>
      <c r="BD36" s="1930">
        <v>0</v>
      </c>
      <c r="BE36" s="1930">
        <v>0</v>
      </c>
      <c r="BF36" s="1929">
        <v>6130</v>
      </c>
      <c r="BG36" s="1931">
        <v>0</v>
      </c>
      <c r="BH36" s="1931">
        <v>0</v>
      </c>
      <c r="BI36" s="1931">
        <v>6130</v>
      </c>
      <c r="BJ36" s="1932">
        <v>0</v>
      </c>
      <c r="BK36" s="1932">
        <v>0</v>
      </c>
      <c r="BL36" s="1932">
        <v>0</v>
      </c>
      <c r="BM36" s="1929">
        <v>0</v>
      </c>
      <c r="BN36" s="1932">
        <v>0</v>
      </c>
      <c r="BO36" s="1932">
        <v>0</v>
      </c>
      <c r="BP36" s="1932">
        <v>0</v>
      </c>
      <c r="BQ36" s="1932">
        <v>0</v>
      </c>
      <c r="BR36" s="1932">
        <v>0</v>
      </c>
      <c r="BS36" s="1933">
        <v>0</v>
      </c>
      <c r="BT36" s="1929">
        <v>0</v>
      </c>
      <c r="BU36" s="1932">
        <v>0</v>
      </c>
      <c r="BV36" s="1934">
        <v>0</v>
      </c>
      <c r="BW36" s="1934">
        <v>0</v>
      </c>
      <c r="BX36" s="1934">
        <v>0</v>
      </c>
      <c r="BY36" s="1934">
        <v>0</v>
      </c>
      <c r="BZ36" s="1934">
        <v>0</v>
      </c>
      <c r="CA36" s="1935">
        <v>0</v>
      </c>
      <c r="CB36" s="1934">
        <v>0</v>
      </c>
      <c r="CC36" s="1934">
        <v>0</v>
      </c>
      <c r="CD36" s="1934">
        <v>0</v>
      </c>
      <c r="CE36" s="1934">
        <v>0</v>
      </c>
      <c r="CF36" s="1934">
        <v>0</v>
      </c>
      <c r="CG36" s="1934">
        <v>0</v>
      </c>
      <c r="CH36" s="1393">
        <v>0</v>
      </c>
      <c r="CI36" s="1393">
        <v>5</v>
      </c>
      <c r="CJ36" s="1393">
        <v>0</v>
      </c>
      <c r="CK36" s="1393">
        <v>0</v>
      </c>
      <c r="CL36" s="1393">
        <v>0</v>
      </c>
      <c r="CM36" s="1393">
        <v>0</v>
      </c>
      <c r="CN36" s="1394">
        <v>903013</v>
      </c>
      <c r="CO36" s="1393">
        <v>33000</v>
      </c>
      <c r="CP36" s="1392">
        <v>9</v>
      </c>
      <c r="CQ36" s="1392">
        <v>4</v>
      </c>
      <c r="CR36" s="1393">
        <v>870000</v>
      </c>
      <c r="CS36" s="1392">
        <v>0</v>
      </c>
      <c r="CT36" s="1393">
        <v>0</v>
      </c>
      <c r="CU36" s="1393">
        <v>0</v>
      </c>
      <c r="CV36" s="1393">
        <v>0</v>
      </c>
      <c r="CW36" s="1393">
        <v>0</v>
      </c>
      <c r="CX36" s="1393">
        <v>0</v>
      </c>
      <c r="CY36" s="1385"/>
      <c r="CZ36" s="1361"/>
      <c r="DA36" s="1361"/>
      <c r="DB36" s="1361"/>
      <c r="DC36" s="1005"/>
    </row>
    <row r="37" spans="2:107" s="1005" customFormat="1" ht="17.100000000000001" customHeight="1" thickBot="1">
      <c r="B37" s="2769" t="s">
        <v>225</v>
      </c>
      <c r="C37" s="2770"/>
      <c r="D37" s="1936">
        <f>D30+D31-D34</f>
        <v>1880221749</v>
      </c>
      <c r="E37" s="911">
        <f t="shared" si="0"/>
        <v>573587438</v>
      </c>
      <c r="F37" s="911">
        <v>392202147</v>
      </c>
      <c r="G37" s="911">
        <v>289557681</v>
      </c>
      <c r="H37" s="911">
        <v>624874483</v>
      </c>
      <c r="I37" s="1936">
        <v>2613653914</v>
      </c>
      <c r="J37" s="911">
        <v>350717326</v>
      </c>
      <c r="K37" s="911">
        <v>348876895</v>
      </c>
      <c r="L37" s="911">
        <v>564049888</v>
      </c>
      <c r="M37" s="911">
        <v>558067373</v>
      </c>
      <c r="N37" s="911">
        <v>494802190</v>
      </c>
      <c r="O37" s="911">
        <v>297140242</v>
      </c>
      <c r="P37" s="1936">
        <v>2123342783</v>
      </c>
      <c r="Q37" s="911">
        <v>649797100</v>
      </c>
      <c r="R37" s="911">
        <v>373584974</v>
      </c>
      <c r="S37" s="911">
        <v>379943871</v>
      </c>
      <c r="T37" s="911">
        <v>25370280.800000191</v>
      </c>
      <c r="U37" s="911">
        <v>230366343.99999976</v>
      </c>
      <c r="V37" s="911">
        <v>464280213.20000005</v>
      </c>
      <c r="W37" s="1936">
        <v>2474955068.3870964</v>
      </c>
      <c r="X37" s="911">
        <v>109170748</v>
      </c>
      <c r="Y37" s="911">
        <v>495398827</v>
      </c>
      <c r="Z37" s="911">
        <v>546945022</v>
      </c>
      <c r="AA37" s="911">
        <v>446727651.38709641</v>
      </c>
      <c r="AB37" s="911">
        <v>444504864</v>
      </c>
      <c r="AC37" s="911">
        <v>432207956</v>
      </c>
      <c r="AD37" s="1936">
        <v>2013779424</v>
      </c>
      <c r="AE37" s="911">
        <v>643635379</v>
      </c>
      <c r="AF37" s="911">
        <v>297488681</v>
      </c>
      <c r="AG37" s="911">
        <v>346629094</v>
      </c>
      <c r="AH37" s="911">
        <v>100007918</v>
      </c>
      <c r="AI37" s="911">
        <v>200877466</v>
      </c>
      <c r="AJ37" s="911">
        <v>425140886</v>
      </c>
      <c r="AK37" s="1936">
        <v>2181657010.9265938</v>
      </c>
      <c r="AL37" s="911">
        <v>197343877.57142639</v>
      </c>
      <c r="AM37" s="911">
        <v>431502287</v>
      </c>
      <c r="AN37" s="911">
        <v>464813945</v>
      </c>
      <c r="AO37" s="911">
        <v>416070740.00000048</v>
      </c>
      <c r="AP37" s="911">
        <v>326998235.00000024</v>
      </c>
      <c r="AQ37" s="911">
        <v>344927926.35516667</v>
      </c>
      <c r="AR37" s="1936">
        <v>-9694246379</v>
      </c>
      <c r="AS37" s="911">
        <v>-10740510428</v>
      </c>
      <c r="AT37" s="911">
        <v>312069483</v>
      </c>
      <c r="AU37" s="911">
        <v>254121967</v>
      </c>
      <c r="AV37" s="911">
        <v>-11214053</v>
      </c>
      <c r="AW37" s="911">
        <v>208288612</v>
      </c>
      <c r="AX37" s="911">
        <v>282998040</v>
      </c>
      <c r="AY37" s="1936">
        <v>2169054199</v>
      </c>
      <c r="AZ37" s="911">
        <v>234814928</v>
      </c>
      <c r="BA37" s="911">
        <v>410432530</v>
      </c>
      <c r="BB37" s="911">
        <v>437567421</v>
      </c>
      <c r="BC37" s="911">
        <v>502078377</v>
      </c>
      <c r="BD37" s="911">
        <v>320671233</v>
      </c>
      <c r="BE37" s="911">
        <v>263489710</v>
      </c>
      <c r="BF37" s="1936">
        <v>1386334317</v>
      </c>
      <c r="BG37" s="1896">
        <v>500448577</v>
      </c>
      <c r="BH37" s="1896">
        <v>221677019</v>
      </c>
      <c r="BI37" s="1896">
        <v>274420327.66666603</v>
      </c>
      <c r="BJ37" s="1924">
        <v>-4672075.6666660309</v>
      </c>
      <c r="BK37" s="1924">
        <v>119514874</v>
      </c>
      <c r="BL37" s="1924">
        <v>274945595</v>
      </c>
      <c r="BM37" s="1936">
        <v>1938690707</v>
      </c>
      <c r="BN37" s="1924">
        <v>403566535</v>
      </c>
      <c r="BO37" s="1924">
        <v>378647667</v>
      </c>
      <c r="BP37" s="1924">
        <v>424718656</v>
      </c>
      <c r="BQ37" s="1924">
        <v>299427047</v>
      </c>
      <c r="BR37" s="1924">
        <v>67271252</v>
      </c>
      <c r="BS37" s="1925">
        <v>365059550</v>
      </c>
      <c r="BT37" s="1936">
        <v>1904877954.333334</v>
      </c>
      <c r="BU37" s="1924">
        <v>559770577</v>
      </c>
      <c r="BV37" s="1926">
        <v>445489673</v>
      </c>
      <c r="BW37" s="1926">
        <v>493629890</v>
      </c>
      <c r="BX37" s="1926">
        <v>228839844.00000048</v>
      </c>
      <c r="BY37" s="1926">
        <v>30973721.333333492</v>
      </c>
      <c r="BZ37" s="1926">
        <v>146174249</v>
      </c>
      <c r="CA37" s="1926">
        <v>819939222</v>
      </c>
      <c r="CB37" s="1926">
        <v>225663722</v>
      </c>
      <c r="CC37" s="1926">
        <v>201532738</v>
      </c>
      <c r="CD37" s="1926">
        <v>176789474</v>
      </c>
      <c r="CE37" s="1926">
        <v>-214478530</v>
      </c>
      <c r="CF37" s="1926">
        <v>224585110</v>
      </c>
      <c r="CG37" s="1926">
        <v>205846708</v>
      </c>
      <c r="CH37" s="1387">
        <v>390988150.89999962</v>
      </c>
      <c r="CI37" s="1387">
        <v>282038796.10000038</v>
      </c>
      <c r="CJ37" s="1387">
        <v>271471980.69999981</v>
      </c>
      <c r="CK37" s="1387">
        <v>232066485.30000019</v>
      </c>
      <c r="CL37" s="1387">
        <v>71042173</v>
      </c>
      <c r="CM37" s="1387">
        <v>212724549</v>
      </c>
      <c r="CN37" s="1387">
        <v>1160848911</v>
      </c>
      <c r="CO37" s="1387">
        <v>222630502</v>
      </c>
      <c r="CP37" s="1386">
        <v>327768617</v>
      </c>
      <c r="CQ37" s="1386">
        <v>409802986</v>
      </c>
      <c r="CR37" s="1387">
        <v>1281590</v>
      </c>
      <c r="CS37" s="1395">
        <v>199302751</v>
      </c>
      <c r="CT37" s="1396">
        <v>62465</v>
      </c>
      <c r="CU37" s="1396">
        <v>0</v>
      </c>
      <c r="CV37" s="1396">
        <v>0</v>
      </c>
      <c r="CW37" s="1396">
        <v>0</v>
      </c>
      <c r="CX37" s="1397">
        <v>0</v>
      </c>
      <c r="CY37" s="1353"/>
      <c r="CZ37" s="1361"/>
      <c r="DA37" s="1361"/>
      <c r="DB37" s="1361"/>
    </row>
    <row r="38" spans="2:107" s="55" customFormat="1" ht="17.100000000000001" customHeight="1">
      <c r="B38" s="60"/>
      <c r="D38" s="61" t="b">
        <f>D37=H37+G37+F37+E37</f>
        <v>1</v>
      </c>
      <c r="E38" s="61"/>
      <c r="F38" s="61"/>
      <c r="G38" s="61"/>
      <c r="H38" s="61"/>
      <c r="I38" s="61"/>
      <c r="J38" s="61"/>
      <c r="K38" s="61"/>
      <c r="L38" s="61"/>
      <c r="M38" s="61"/>
      <c r="N38" s="61"/>
      <c r="O38" s="61"/>
      <c r="P38" s="61"/>
      <c r="Q38" s="61"/>
      <c r="R38" s="61"/>
      <c r="S38" s="61"/>
      <c r="T38" s="61"/>
      <c r="U38" s="61"/>
      <c r="V38" s="61"/>
      <c r="W38" s="61"/>
      <c r="X38" s="61"/>
      <c r="Y38" s="61"/>
      <c r="Z38" s="61"/>
      <c r="AA38" s="61"/>
      <c r="AB38" s="61"/>
      <c r="AC38" s="61"/>
      <c r="AD38" s="61"/>
      <c r="AE38" s="61"/>
      <c r="AF38" s="61"/>
      <c r="AG38" s="61"/>
      <c r="AH38" s="61"/>
      <c r="AI38" s="61"/>
      <c r="AJ38" s="61"/>
      <c r="AK38" s="61"/>
      <c r="AL38" s="61"/>
      <c r="AM38" s="61"/>
      <c r="AN38" s="61"/>
      <c r="AO38" s="61"/>
      <c r="AP38" s="61"/>
      <c r="AQ38" s="61"/>
      <c r="AR38" s="61"/>
      <c r="AS38" s="61"/>
      <c r="AT38" s="61"/>
      <c r="AU38" s="61"/>
      <c r="AV38" s="61"/>
      <c r="AW38" s="61"/>
      <c r="AX38" s="61"/>
      <c r="AY38" s="61"/>
      <c r="AZ38" s="62"/>
      <c r="BA38" s="62"/>
      <c r="BB38" s="62"/>
      <c r="BC38" s="62"/>
      <c r="BD38" s="62"/>
      <c r="BE38" s="62"/>
      <c r="BF38" s="61"/>
      <c r="BG38" s="61"/>
      <c r="BH38" s="61"/>
      <c r="BI38" s="61"/>
      <c r="BJ38" s="61"/>
      <c r="BK38" s="61"/>
      <c r="BL38" s="61"/>
      <c r="BM38" s="61"/>
      <c r="BN38" s="61"/>
      <c r="BO38" s="61"/>
      <c r="BP38" s="61"/>
      <c r="BQ38" s="61"/>
      <c r="BR38" s="61"/>
      <c r="BS38" s="61"/>
      <c r="BT38" s="61"/>
      <c r="BU38" s="61"/>
      <c r="BV38" s="61"/>
      <c r="BW38" s="61"/>
      <c r="BX38" s="61"/>
      <c r="BY38" s="61"/>
      <c r="BZ38" s="61"/>
      <c r="CA38" s="61" t="b">
        <f>CA37=SUM(CB37:CG37)</f>
        <v>1</v>
      </c>
      <c r="CB38" s="1937"/>
      <c r="CC38" s="61"/>
      <c r="CD38" s="61"/>
      <c r="CE38" s="61"/>
      <c r="CF38" s="61"/>
      <c r="CG38" s="61"/>
      <c r="CH38" s="61" t="b">
        <f>CH37=SUM(CI37:CN37)</f>
        <v>0</v>
      </c>
      <c r="CI38" s="61"/>
      <c r="CJ38" s="61"/>
      <c r="CK38" s="61"/>
      <c r="CL38" s="61"/>
      <c r="CM38" s="61"/>
      <c r="CN38" s="61"/>
      <c r="CO38" s="61"/>
      <c r="CZ38" s="1"/>
      <c r="DA38" s="100"/>
      <c r="DB38" s="1"/>
      <c r="DC38" s="61"/>
    </row>
    <row r="39" spans="2:107" ht="17.100000000000001" customHeight="1">
      <c r="D39" s="982"/>
      <c r="E39" s="982"/>
      <c r="F39" s="982"/>
      <c r="G39" s="982"/>
      <c r="H39" s="982"/>
      <c r="I39" s="982"/>
      <c r="J39" s="982"/>
      <c r="K39" s="982"/>
      <c r="L39" s="982"/>
      <c r="M39" s="982"/>
      <c r="N39" s="982"/>
      <c r="O39" s="982"/>
      <c r="P39" s="982"/>
      <c r="Q39" s="982"/>
      <c r="R39" s="982"/>
      <c r="S39" s="982"/>
      <c r="T39" s="982"/>
      <c r="U39" s="982"/>
      <c r="V39" s="982"/>
      <c r="W39" s="982"/>
      <c r="X39" s="982"/>
      <c r="Y39" s="982"/>
      <c r="Z39" s="982"/>
      <c r="AA39" s="982"/>
      <c r="AB39" s="982"/>
      <c r="AC39" s="982"/>
      <c r="AD39" s="982"/>
      <c r="AE39" s="982"/>
      <c r="AF39" s="982"/>
      <c r="AG39" s="982"/>
      <c r="AH39" s="982"/>
      <c r="AI39" s="982"/>
      <c r="AJ39" s="982"/>
      <c r="AK39" s="982"/>
      <c r="AL39" s="982"/>
      <c r="AM39" s="982"/>
      <c r="AN39" s="982"/>
      <c r="AO39" s="982"/>
      <c r="AP39" s="982"/>
      <c r="AQ39" s="982"/>
      <c r="AR39" s="982"/>
      <c r="AS39" s="982"/>
      <c r="AT39" s="982"/>
      <c r="AU39" s="982"/>
      <c r="AV39" s="982"/>
      <c r="AW39" s="982"/>
      <c r="AX39" s="982"/>
      <c r="AY39" s="1398"/>
      <c r="AZ39" s="1398"/>
      <c r="BA39" s="1398"/>
      <c r="BB39" s="1398"/>
      <c r="BC39" s="1398"/>
      <c r="BD39" s="1398"/>
      <c r="BE39" s="982"/>
      <c r="BF39" s="982"/>
      <c r="BG39" s="982"/>
      <c r="BH39" s="982"/>
      <c r="BI39" s="982"/>
      <c r="BJ39" s="982"/>
      <c r="BK39" s="982"/>
      <c r="BL39" s="982"/>
      <c r="BM39" s="982"/>
      <c r="BN39" s="982"/>
      <c r="BO39" s="982"/>
      <c r="BP39" s="982"/>
      <c r="BQ39" s="982"/>
      <c r="BR39" s="982"/>
      <c r="BS39" s="982"/>
      <c r="BT39" s="982"/>
      <c r="BU39" s="982"/>
      <c r="BV39" s="982"/>
      <c r="BW39" s="982"/>
      <c r="BX39" s="982"/>
      <c r="BY39" s="982"/>
      <c r="BZ39" s="982"/>
      <c r="CA39" s="982"/>
      <c r="CB39" s="982"/>
      <c r="CC39" s="1022"/>
      <c r="CD39" s="1022"/>
      <c r="CE39" s="1022"/>
      <c r="CF39" s="1022"/>
      <c r="CG39" s="1022"/>
      <c r="CH39" s="1022"/>
      <c r="CI39" s="1022"/>
      <c r="CJ39" s="1022"/>
      <c r="CK39" s="1022"/>
      <c r="CL39" s="1022"/>
      <c r="CM39" s="1022"/>
      <c r="CN39" s="1022"/>
      <c r="CY39" s="1353"/>
    </row>
    <row r="40" spans="2:107" ht="17.100000000000001" customHeight="1">
      <c r="CC40" s="1022"/>
      <c r="CD40" s="1022"/>
      <c r="CE40" s="1022"/>
      <c r="CF40" s="1022"/>
      <c r="CZ40" s="1022"/>
      <c r="DA40" s="1022"/>
    </row>
    <row r="41" spans="2:107" ht="17.100000000000001" customHeight="1">
      <c r="C41" s="982"/>
      <c r="D41" s="982"/>
      <c r="E41" s="982"/>
      <c r="F41" s="982"/>
      <c r="G41" s="982"/>
      <c r="H41" s="982"/>
      <c r="I41" s="982"/>
      <c r="J41" s="982"/>
      <c r="K41" s="982"/>
      <c r="L41" s="982"/>
      <c r="M41" s="982"/>
      <c r="N41" s="982"/>
      <c r="O41" s="982"/>
      <c r="P41" s="982"/>
      <c r="Q41" s="982"/>
      <c r="R41" s="982"/>
      <c r="S41" s="982"/>
      <c r="T41" s="982"/>
      <c r="U41" s="982"/>
      <c r="V41" s="982"/>
      <c r="W41" s="982"/>
      <c r="X41" s="982"/>
      <c r="Y41" s="982"/>
      <c r="Z41" s="982"/>
      <c r="AA41" s="982"/>
      <c r="AB41" s="982"/>
      <c r="AC41" s="982"/>
      <c r="AD41" s="982"/>
      <c r="AE41" s="982"/>
      <c r="AF41" s="982"/>
      <c r="AG41" s="982"/>
      <c r="AH41" s="982"/>
      <c r="AI41" s="982"/>
      <c r="AJ41" s="982"/>
      <c r="AK41" s="982"/>
      <c r="AL41" s="982"/>
      <c r="AM41" s="982"/>
      <c r="AN41" s="982"/>
      <c r="AO41" s="982"/>
      <c r="AP41" s="982"/>
      <c r="AQ41" s="982"/>
      <c r="AR41" s="982"/>
      <c r="AS41" s="982"/>
      <c r="AT41" s="982"/>
      <c r="AU41" s="982"/>
      <c r="AV41" s="982"/>
      <c r="AW41" s="982"/>
      <c r="AX41" s="982"/>
      <c r="AY41" s="1398"/>
      <c r="AZ41" s="1398"/>
      <c r="BA41" s="1398"/>
      <c r="BB41" s="1398"/>
      <c r="BC41" s="1398"/>
      <c r="BD41" s="1398"/>
      <c r="BE41" s="982"/>
      <c r="BF41" s="982"/>
      <c r="BG41" s="982"/>
      <c r="BH41" s="982"/>
      <c r="BI41" s="982"/>
      <c r="BJ41" s="982"/>
      <c r="BK41" s="982"/>
      <c r="BL41" s="982"/>
      <c r="BM41" s="982"/>
      <c r="BN41" s="982"/>
      <c r="BO41" s="982"/>
      <c r="BP41" s="982"/>
      <c r="BQ41" s="982"/>
      <c r="BR41" s="982"/>
      <c r="BS41" s="982"/>
      <c r="BT41" s="982"/>
      <c r="BU41" s="982"/>
      <c r="BV41" s="982"/>
      <c r="BW41" s="982"/>
      <c r="BX41" s="982"/>
      <c r="BY41" s="982"/>
      <c r="BZ41" s="982"/>
      <c r="CA41" s="982"/>
      <c r="CB41" s="982"/>
      <c r="CC41" s="1022"/>
      <c r="CD41" s="1022"/>
      <c r="CE41" s="1022"/>
      <c r="CF41" s="1022"/>
      <c r="CG41" s="982"/>
      <c r="CH41" s="982"/>
      <c r="CI41" s="982"/>
      <c r="CJ41" s="982"/>
      <c r="CK41" s="982"/>
      <c r="CL41" s="982"/>
      <c r="CM41" s="982"/>
      <c r="CN41" s="982"/>
      <c r="CO41" s="982"/>
      <c r="CP41" s="1400"/>
      <c r="CQ41" s="1400"/>
      <c r="CR41" s="1400"/>
      <c r="CS41" s="1400"/>
      <c r="CT41" s="1400"/>
      <c r="CV41" s="1022"/>
      <c r="CW41" s="1022"/>
      <c r="CX41" s="1022"/>
      <c r="CY41" s="1022"/>
      <c r="CZ41" s="1022"/>
      <c r="DA41" s="1022"/>
    </row>
    <row r="42" spans="2:107" ht="17.100000000000001" customHeight="1">
      <c r="C42" s="982"/>
      <c r="D42" s="982"/>
      <c r="E42" s="982"/>
      <c r="F42" s="982"/>
      <c r="G42" s="982"/>
      <c r="H42" s="982"/>
      <c r="I42" s="982"/>
      <c r="J42" s="982"/>
      <c r="K42" s="982"/>
      <c r="L42" s="982"/>
      <c r="M42" s="982"/>
      <c r="N42" s="982"/>
      <c r="O42" s="982"/>
      <c r="P42" s="982"/>
      <c r="Q42" s="982"/>
      <c r="R42" s="982"/>
      <c r="S42" s="982"/>
      <c r="T42" s="982"/>
      <c r="U42" s="982"/>
      <c r="V42" s="982"/>
      <c r="W42" s="982"/>
      <c r="X42" s="982"/>
      <c r="Y42" s="982"/>
      <c r="Z42" s="982"/>
      <c r="AA42" s="982"/>
      <c r="AB42" s="982"/>
      <c r="AC42" s="982"/>
      <c r="AD42" s="982"/>
      <c r="AE42" s="982"/>
      <c r="AF42" s="982"/>
      <c r="AG42" s="982"/>
      <c r="AH42" s="982"/>
      <c r="AI42" s="982"/>
      <c r="AJ42" s="982"/>
      <c r="AK42" s="982"/>
      <c r="AL42" s="982"/>
      <c r="AM42" s="982"/>
      <c r="AN42" s="982"/>
      <c r="AO42" s="982"/>
      <c r="AP42" s="982"/>
      <c r="AQ42" s="982"/>
      <c r="AR42" s="982"/>
      <c r="AS42" s="982"/>
      <c r="AT42" s="982"/>
      <c r="AU42" s="982"/>
      <c r="AV42" s="982"/>
      <c r="AW42" s="982"/>
      <c r="AX42" s="982"/>
      <c r="AY42" s="1398"/>
      <c r="AZ42" s="1398"/>
      <c r="BA42" s="1398"/>
      <c r="BB42" s="1398"/>
      <c r="BC42" s="1398"/>
      <c r="BD42" s="1398"/>
      <c r="BE42" s="982"/>
      <c r="BF42" s="982"/>
      <c r="BG42" s="982"/>
      <c r="BH42" s="982"/>
      <c r="BI42" s="982"/>
      <c r="BJ42" s="982"/>
      <c r="BK42" s="982"/>
      <c r="BL42" s="982"/>
      <c r="BM42" s="982"/>
      <c r="BN42" s="982"/>
      <c r="BO42" s="982"/>
      <c r="BP42" s="982"/>
      <c r="BQ42" s="982"/>
      <c r="BR42" s="982"/>
      <c r="BS42" s="982"/>
      <c r="BT42" s="982"/>
      <c r="BU42" s="982"/>
      <c r="BV42" s="982"/>
      <c r="BW42" s="982"/>
      <c r="BX42" s="982"/>
      <c r="BY42" s="982"/>
      <c r="BZ42" s="982"/>
      <c r="CA42" s="982"/>
      <c r="CB42" s="982"/>
      <c r="CC42" s="1022"/>
      <c r="CD42" s="1022"/>
      <c r="CE42" s="1022"/>
      <c r="CF42" s="1022"/>
      <c r="CG42" s="982"/>
      <c r="CH42" s="982"/>
      <c r="CI42" s="982"/>
      <c r="CJ42" s="982"/>
      <c r="CK42" s="982"/>
      <c r="CL42" s="982"/>
      <c r="CM42" s="982"/>
      <c r="CN42" s="982"/>
      <c r="CO42" s="1401"/>
      <c r="CP42" s="1400"/>
      <c r="CQ42" s="1400"/>
      <c r="CR42" s="1400"/>
      <c r="CS42" s="1400"/>
      <c r="CT42" s="1400"/>
      <c r="CV42" s="1022"/>
      <c r="CW42" s="1022"/>
      <c r="CX42" s="1022"/>
      <c r="CY42" s="1022"/>
      <c r="CZ42" s="1022"/>
      <c r="DA42" s="1022"/>
    </row>
    <row r="43" spans="2:107" ht="17.100000000000001" customHeight="1">
      <c r="C43" s="982"/>
      <c r="D43" s="982"/>
      <c r="E43" s="982"/>
      <c r="F43" s="982"/>
      <c r="G43" s="982"/>
      <c r="H43" s="982"/>
      <c r="I43" s="982"/>
      <c r="J43" s="982"/>
      <c r="K43" s="982"/>
      <c r="L43" s="982"/>
      <c r="M43" s="982"/>
      <c r="N43" s="982"/>
      <c r="O43" s="982"/>
      <c r="P43" s="982"/>
      <c r="Q43" s="982"/>
      <c r="R43" s="982"/>
      <c r="S43" s="982"/>
      <c r="T43" s="982"/>
      <c r="U43" s="982"/>
      <c r="V43" s="982"/>
      <c r="W43" s="982"/>
      <c r="X43" s="982"/>
      <c r="Y43" s="982"/>
      <c r="Z43" s="982"/>
      <c r="AA43" s="982"/>
      <c r="AB43" s="982"/>
      <c r="AC43" s="982"/>
      <c r="AD43" s="982"/>
      <c r="AE43" s="982"/>
      <c r="AF43" s="982"/>
      <c r="AG43" s="982"/>
      <c r="AH43" s="982"/>
      <c r="AI43" s="982"/>
      <c r="AJ43" s="982"/>
      <c r="AK43" s="982"/>
      <c r="AL43" s="982"/>
      <c r="AM43" s="982"/>
      <c r="AN43" s="982"/>
      <c r="AO43" s="982"/>
      <c r="AP43" s="982"/>
      <c r="AQ43" s="982"/>
      <c r="AR43" s="982"/>
      <c r="AS43" s="982"/>
      <c r="AT43" s="982"/>
      <c r="AU43" s="982"/>
      <c r="AV43" s="982"/>
      <c r="AW43" s="982"/>
      <c r="AX43" s="982"/>
      <c r="AY43" s="1398"/>
      <c r="AZ43" s="1398"/>
      <c r="BA43" s="1398"/>
      <c r="BB43" s="1398"/>
      <c r="BC43" s="1398"/>
      <c r="BD43" s="1398"/>
      <c r="BE43" s="982"/>
      <c r="BF43" s="982"/>
      <c r="BG43" s="982"/>
      <c r="BH43" s="982"/>
      <c r="BI43" s="982"/>
      <c r="BJ43" s="982"/>
      <c r="BK43" s="982"/>
      <c r="BL43" s="982"/>
      <c r="BM43" s="982"/>
      <c r="BN43" s="982"/>
      <c r="BO43" s="982"/>
      <c r="BP43" s="982"/>
      <c r="BQ43" s="982"/>
      <c r="BR43" s="982"/>
      <c r="BS43" s="982"/>
      <c r="BT43" s="982"/>
      <c r="BU43" s="982"/>
      <c r="BV43" s="982"/>
      <c r="BW43" s="982"/>
      <c r="BX43" s="982"/>
      <c r="BY43" s="982"/>
      <c r="BZ43" s="982"/>
      <c r="CA43" s="982"/>
      <c r="CB43" s="982"/>
      <c r="CC43" s="982"/>
      <c r="CD43" s="982"/>
      <c r="CE43" s="982"/>
      <c r="CF43" s="982"/>
      <c r="CG43" s="982"/>
      <c r="CH43" s="982"/>
      <c r="CI43" s="982"/>
      <c r="CJ43" s="982"/>
      <c r="CK43" s="982"/>
      <c r="CL43" s="982"/>
      <c r="CM43" s="982"/>
      <c r="CN43" s="982"/>
      <c r="CO43" s="1401"/>
      <c r="CP43" s="1400"/>
      <c r="CQ43" s="1400"/>
      <c r="CR43" s="1400"/>
      <c r="CS43" s="1400"/>
      <c r="CT43" s="1400"/>
      <c r="CV43" s="1022"/>
      <c r="CW43" s="1022"/>
      <c r="CX43" s="1022"/>
      <c r="CY43" s="1022"/>
      <c r="CZ43" s="1022"/>
      <c r="DA43" s="1022"/>
    </row>
    <row r="44" spans="2:107" ht="17.100000000000001" customHeight="1">
      <c r="C44" s="982"/>
      <c r="D44" s="982"/>
      <c r="E44" s="982"/>
      <c r="F44" s="982"/>
      <c r="G44" s="982"/>
      <c r="H44" s="982"/>
      <c r="I44" s="982"/>
      <c r="J44" s="982"/>
      <c r="K44" s="982"/>
      <c r="L44" s="982"/>
      <c r="M44" s="982"/>
      <c r="N44" s="982"/>
      <c r="O44" s="982"/>
      <c r="P44" s="982"/>
      <c r="Q44" s="982"/>
      <c r="R44" s="982"/>
      <c r="S44" s="982"/>
      <c r="T44" s="982"/>
      <c r="U44" s="982"/>
      <c r="V44" s="982"/>
      <c r="W44" s="982"/>
      <c r="X44" s="982"/>
      <c r="Y44" s="982"/>
      <c r="Z44" s="982"/>
      <c r="AA44" s="982"/>
      <c r="AB44" s="982"/>
      <c r="AC44" s="982"/>
      <c r="AD44" s="982"/>
      <c r="AE44" s="982"/>
      <c r="AF44" s="982"/>
      <c r="AG44" s="982"/>
      <c r="AH44" s="982"/>
      <c r="AI44" s="982"/>
      <c r="AJ44" s="982"/>
      <c r="AK44" s="982"/>
      <c r="AL44" s="982"/>
      <c r="AM44" s="982"/>
      <c r="AN44" s="982"/>
      <c r="AO44" s="982"/>
      <c r="AP44" s="982"/>
      <c r="AQ44" s="982"/>
      <c r="AR44" s="982"/>
      <c r="AS44" s="982"/>
      <c r="AT44" s="982"/>
      <c r="AU44" s="982"/>
      <c r="AV44" s="982"/>
      <c r="AW44" s="982"/>
      <c r="AX44" s="982"/>
      <c r="AY44" s="1398"/>
      <c r="AZ44" s="1398"/>
      <c r="BA44" s="1398"/>
      <c r="BB44" s="1398"/>
      <c r="BC44" s="1398"/>
      <c r="BD44" s="1398"/>
      <c r="BE44" s="982"/>
      <c r="BF44" s="982"/>
      <c r="BG44" s="982"/>
      <c r="BH44" s="982"/>
      <c r="BI44" s="982"/>
      <c r="BJ44" s="982"/>
      <c r="BK44" s="982"/>
      <c r="BL44" s="982"/>
      <c r="BM44" s="982"/>
      <c r="BN44" s="982"/>
      <c r="BO44" s="982"/>
      <c r="BP44" s="982"/>
      <c r="BQ44" s="982"/>
      <c r="BR44" s="982"/>
      <c r="BS44" s="982"/>
      <c r="BT44" s="982"/>
      <c r="BU44" s="982"/>
      <c r="BV44" s="982"/>
      <c r="BW44" s="982"/>
      <c r="BX44" s="982"/>
      <c r="BY44" s="982"/>
      <c r="BZ44" s="982"/>
      <c r="CA44" s="982"/>
      <c r="CB44" s="982"/>
      <c r="CC44" s="982"/>
      <c r="CD44" s="982"/>
      <c r="CE44" s="982"/>
      <c r="CF44" s="982"/>
      <c r="CG44" s="982"/>
      <c r="CH44" s="982"/>
      <c r="CI44" s="982"/>
      <c r="CJ44" s="982"/>
      <c r="CK44" s="982"/>
      <c r="CL44" s="982"/>
      <c r="CM44" s="982"/>
      <c r="CN44" s="982"/>
      <c r="CO44" s="1401"/>
      <c r="CP44" s="1400"/>
      <c r="CQ44" s="1400"/>
      <c r="CR44" s="1400"/>
      <c r="CS44" s="1400"/>
      <c r="CT44" s="1400"/>
      <c r="CV44" s="1022"/>
      <c r="CW44" s="1022"/>
      <c r="CX44" s="1022"/>
      <c r="CY44" s="1022"/>
      <c r="CZ44" s="1022"/>
      <c r="DA44" s="1022"/>
    </row>
    <row r="45" spans="2:107" ht="17.100000000000001" customHeight="1">
      <c r="C45" s="982"/>
      <c r="D45" s="982"/>
      <c r="E45" s="982"/>
      <c r="F45" s="982"/>
      <c r="G45" s="982"/>
      <c r="H45" s="982"/>
      <c r="I45" s="982"/>
      <c r="J45" s="982"/>
      <c r="K45" s="982"/>
      <c r="L45" s="982"/>
      <c r="M45" s="982"/>
      <c r="N45" s="982"/>
      <c r="O45" s="982"/>
      <c r="P45" s="982"/>
      <c r="Q45" s="982"/>
      <c r="R45" s="982"/>
      <c r="S45" s="982"/>
      <c r="T45" s="982"/>
      <c r="U45" s="982"/>
      <c r="V45" s="982"/>
      <c r="W45" s="982"/>
      <c r="X45" s="982"/>
      <c r="Y45" s="982"/>
      <c r="Z45" s="982"/>
      <c r="AA45" s="982"/>
      <c r="AB45" s="982"/>
      <c r="AC45" s="982"/>
      <c r="AD45" s="982"/>
      <c r="AE45" s="982"/>
      <c r="AF45" s="982"/>
      <c r="AG45" s="982"/>
      <c r="AH45" s="982"/>
      <c r="AI45" s="982"/>
      <c r="AJ45" s="982"/>
      <c r="AK45" s="982"/>
      <c r="AL45" s="982"/>
      <c r="AM45" s="982"/>
      <c r="AN45" s="982"/>
      <c r="AO45" s="982"/>
      <c r="AP45" s="982"/>
      <c r="AQ45" s="982"/>
      <c r="AR45" s="982"/>
      <c r="AS45" s="982"/>
      <c r="AT45" s="982"/>
      <c r="AU45" s="982"/>
      <c r="AV45" s="982"/>
      <c r="AW45" s="982"/>
      <c r="AX45" s="982"/>
      <c r="AY45" s="1398"/>
      <c r="AZ45" s="1398"/>
      <c r="BA45" s="1398"/>
      <c r="BB45" s="1398"/>
      <c r="BC45" s="1398"/>
      <c r="BD45" s="1398"/>
      <c r="BE45" s="982"/>
      <c r="BF45" s="982"/>
      <c r="BG45" s="982"/>
      <c r="BH45" s="982"/>
      <c r="BI45" s="982"/>
      <c r="BJ45" s="982"/>
      <c r="BK45" s="982"/>
      <c r="BL45" s="982"/>
      <c r="BM45" s="982"/>
      <c r="BN45" s="982"/>
      <c r="BO45" s="982"/>
      <c r="BP45" s="982"/>
      <c r="BQ45" s="982"/>
      <c r="BR45" s="982"/>
      <c r="BS45" s="982"/>
      <c r="BT45" s="982"/>
      <c r="BU45" s="982"/>
      <c r="BV45" s="982"/>
      <c r="BW45" s="982"/>
      <c r="BX45" s="982"/>
      <c r="BY45" s="982"/>
      <c r="BZ45" s="982"/>
      <c r="CA45" s="982"/>
      <c r="CB45" s="982"/>
      <c r="CC45" s="982"/>
      <c r="CD45" s="982"/>
      <c r="CE45" s="982"/>
      <c r="CF45" s="982"/>
      <c r="CG45" s="982"/>
      <c r="CH45" s="982"/>
      <c r="CI45" s="982"/>
      <c r="CJ45" s="982"/>
      <c r="CK45" s="982"/>
      <c r="CL45" s="982"/>
      <c r="CM45" s="982"/>
      <c r="CN45" s="982"/>
      <c r="CO45" s="1401"/>
      <c r="CP45" s="1400"/>
      <c r="CQ45" s="1400"/>
      <c r="CR45" s="1400"/>
      <c r="CS45" s="1400"/>
      <c r="CT45" s="1400"/>
      <c r="CV45" s="1022"/>
      <c r="CW45" s="1022"/>
      <c r="CX45" s="1022"/>
      <c r="CY45" s="1022"/>
      <c r="CZ45" s="1022"/>
      <c r="DA45" s="1022"/>
    </row>
    <row r="46" spans="2:107" ht="17.100000000000001" customHeight="1">
      <c r="C46" s="982"/>
      <c r="D46" s="982"/>
      <c r="E46" s="982"/>
      <c r="F46" s="982"/>
      <c r="G46" s="982"/>
      <c r="H46" s="982"/>
      <c r="I46" s="982"/>
      <c r="J46" s="982"/>
      <c r="K46" s="982"/>
      <c r="L46" s="982"/>
      <c r="M46" s="982"/>
      <c r="N46" s="982"/>
      <c r="O46" s="982"/>
      <c r="P46" s="982"/>
      <c r="Q46" s="982"/>
      <c r="R46" s="982"/>
      <c r="S46" s="982"/>
      <c r="T46" s="982"/>
      <c r="U46" s="982"/>
      <c r="V46" s="982"/>
      <c r="W46" s="982"/>
      <c r="X46" s="982"/>
      <c r="Y46" s="982"/>
      <c r="Z46" s="982"/>
      <c r="AA46" s="982"/>
      <c r="AB46" s="982"/>
      <c r="AC46" s="982"/>
      <c r="AD46" s="982"/>
      <c r="AE46" s="982"/>
      <c r="AF46" s="982"/>
      <c r="AG46" s="982"/>
      <c r="AH46" s="982"/>
      <c r="AI46" s="982"/>
      <c r="AJ46" s="982"/>
      <c r="AK46" s="982"/>
      <c r="AL46" s="982"/>
      <c r="AM46" s="982"/>
      <c r="AN46" s="982"/>
      <c r="AO46" s="982"/>
      <c r="AP46" s="982"/>
      <c r="AQ46" s="982"/>
      <c r="AR46" s="982"/>
      <c r="AS46" s="982"/>
      <c r="AT46" s="982"/>
      <c r="AU46" s="982"/>
      <c r="AV46" s="982"/>
      <c r="AW46" s="982"/>
      <c r="AX46" s="982"/>
      <c r="AY46" s="1398"/>
      <c r="AZ46" s="1398"/>
      <c r="BA46" s="1398"/>
      <c r="BB46" s="1398"/>
      <c r="BC46" s="1398"/>
      <c r="BD46" s="1398"/>
      <c r="BE46" s="982"/>
      <c r="BF46" s="982"/>
      <c r="BG46" s="982"/>
      <c r="BH46" s="982"/>
      <c r="BI46" s="982"/>
      <c r="BJ46" s="982"/>
      <c r="BK46" s="982"/>
      <c r="BL46" s="982"/>
      <c r="BM46" s="982"/>
      <c r="BN46" s="982"/>
      <c r="BO46" s="982"/>
      <c r="BP46" s="982"/>
      <c r="BQ46" s="982"/>
      <c r="BR46" s="982"/>
      <c r="BS46" s="982"/>
      <c r="BT46" s="982"/>
      <c r="BU46" s="982"/>
      <c r="BV46" s="982"/>
      <c r="BW46" s="982"/>
      <c r="BX46" s="982"/>
      <c r="BY46" s="982"/>
      <c r="BZ46" s="982"/>
      <c r="CA46" s="982"/>
      <c r="CB46" s="982"/>
      <c r="CC46" s="982"/>
      <c r="CD46" s="982"/>
      <c r="CE46" s="982"/>
      <c r="CF46" s="982"/>
      <c r="CG46" s="982"/>
      <c r="CH46" s="982"/>
      <c r="CI46" s="982"/>
      <c r="CJ46" s="982"/>
      <c r="CK46" s="982"/>
      <c r="CL46" s="982"/>
      <c r="CM46" s="982"/>
      <c r="CN46" s="982"/>
      <c r="CO46" s="1401"/>
      <c r="CP46" s="1400"/>
      <c r="CQ46" s="1400"/>
      <c r="CR46" s="1400"/>
      <c r="CS46" s="1400"/>
      <c r="CT46" s="1400"/>
      <c r="CV46" s="1022"/>
      <c r="CW46" s="1022"/>
      <c r="CX46" s="1022"/>
      <c r="CY46" s="1022"/>
      <c r="CZ46" s="1022"/>
      <c r="DA46" s="1022"/>
    </row>
    <row r="47" spans="2:107" ht="17.100000000000001" customHeight="1">
      <c r="C47" s="982"/>
      <c r="D47" s="982"/>
      <c r="E47" s="982"/>
      <c r="F47" s="982"/>
      <c r="G47" s="982"/>
      <c r="H47" s="982"/>
      <c r="I47" s="982"/>
      <c r="J47" s="982"/>
      <c r="K47" s="982"/>
      <c r="L47" s="982"/>
      <c r="M47" s="982"/>
      <c r="N47" s="982"/>
      <c r="O47" s="982"/>
      <c r="P47" s="982"/>
      <c r="Q47" s="982"/>
      <c r="R47" s="982"/>
      <c r="S47" s="982"/>
      <c r="T47" s="982"/>
      <c r="U47" s="982"/>
      <c r="V47" s="982"/>
      <c r="W47" s="982"/>
      <c r="X47" s="982"/>
      <c r="Y47" s="982"/>
      <c r="Z47" s="982"/>
      <c r="AA47" s="982"/>
      <c r="AB47" s="982"/>
      <c r="AC47" s="982"/>
      <c r="AD47" s="982"/>
      <c r="AE47" s="982"/>
      <c r="AF47" s="982"/>
      <c r="AG47" s="982"/>
      <c r="AH47" s="982"/>
      <c r="AI47" s="982"/>
      <c r="AJ47" s="982"/>
      <c r="AK47" s="982"/>
      <c r="AL47" s="982"/>
      <c r="AM47" s="982"/>
      <c r="AN47" s="982"/>
      <c r="AO47" s="982"/>
      <c r="AP47" s="982"/>
      <c r="AQ47" s="982"/>
      <c r="AR47" s="982"/>
      <c r="AS47" s="982"/>
      <c r="AT47" s="982"/>
      <c r="AU47" s="982"/>
      <c r="AV47" s="982"/>
      <c r="AW47" s="982"/>
      <c r="AX47" s="982"/>
      <c r="AY47" s="1398"/>
      <c r="AZ47" s="1398"/>
      <c r="BA47" s="1398"/>
      <c r="BB47" s="1398"/>
      <c r="BC47" s="1398"/>
      <c r="BD47" s="1398"/>
      <c r="BE47" s="982"/>
      <c r="BF47" s="982"/>
      <c r="BG47" s="982"/>
      <c r="BH47" s="982"/>
      <c r="BI47" s="982"/>
      <c r="BJ47" s="982"/>
      <c r="BK47" s="982"/>
      <c r="BL47" s="982"/>
      <c r="BM47" s="982"/>
      <c r="BN47" s="982"/>
      <c r="BO47" s="982"/>
      <c r="BP47" s="982"/>
      <c r="BQ47" s="982"/>
      <c r="BR47" s="982"/>
      <c r="BS47" s="982"/>
      <c r="BT47" s="982"/>
      <c r="BU47" s="982"/>
      <c r="BV47" s="982"/>
      <c r="BW47" s="982"/>
      <c r="BX47" s="982"/>
      <c r="BY47" s="982"/>
      <c r="BZ47" s="982"/>
      <c r="CA47" s="982"/>
      <c r="CB47" s="982"/>
      <c r="CC47" s="982"/>
      <c r="CD47" s="982"/>
      <c r="CE47" s="982"/>
      <c r="CF47" s="982"/>
      <c r="CG47" s="982"/>
      <c r="CH47" s="982"/>
      <c r="CI47" s="982"/>
      <c r="CJ47" s="982"/>
      <c r="CK47" s="982"/>
      <c r="CL47" s="982"/>
      <c r="CM47" s="982"/>
      <c r="CN47" s="982"/>
      <c r="CO47" s="1401"/>
      <c r="CP47" s="1400"/>
      <c r="CQ47" s="1400"/>
      <c r="CR47" s="1400"/>
      <c r="CS47" s="1400"/>
      <c r="CT47" s="1400"/>
      <c r="CV47" s="1022"/>
      <c r="CW47" s="1022"/>
      <c r="CX47" s="1022"/>
      <c r="CY47" s="1022"/>
      <c r="CZ47" s="1022"/>
      <c r="DA47" s="1022"/>
    </row>
    <row r="48" spans="2:107" ht="17.100000000000001" customHeight="1">
      <c r="C48" s="982"/>
      <c r="D48" s="982"/>
      <c r="E48" s="982"/>
      <c r="F48" s="982"/>
      <c r="G48" s="982"/>
      <c r="H48" s="982"/>
      <c r="I48" s="982"/>
      <c r="J48" s="982"/>
      <c r="K48" s="982"/>
      <c r="L48" s="982"/>
      <c r="M48" s="982"/>
      <c r="N48" s="982"/>
      <c r="O48" s="982"/>
      <c r="P48" s="982"/>
      <c r="Q48" s="982"/>
      <c r="R48" s="982"/>
      <c r="S48" s="982"/>
      <c r="T48" s="982"/>
      <c r="U48" s="982"/>
      <c r="V48" s="982"/>
      <c r="W48" s="982"/>
      <c r="X48" s="982"/>
      <c r="Y48" s="982"/>
      <c r="Z48" s="982"/>
      <c r="AA48" s="982"/>
      <c r="AB48" s="982"/>
      <c r="AC48" s="982"/>
      <c r="AD48" s="982"/>
      <c r="AE48" s="982"/>
      <c r="AF48" s="982"/>
      <c r="AG48" s="982"/>
      <c r="AH48" s="982"/>
      <c r="AI48" s="982"/>
      <c r="AJ48" s="982"/>
      <c r="AK48" s="982"/>
      <c r="AL48" s="982"/>
      <c r="AM48" s="982"/>
      <c r="AN48" s="982"/>
      <c r="AO48" s="982"/>
      <c r="AP48" s="982"/>
      <c r="AQ48" s="982"/>
      <c r="AR48" s="982"/>
      <c r="AS48" s="982"/>
      <c r="AT48" s="982"/>
      <c r="AU48" s="982"/>
      <c r="AV48" s="982"/>
      <c r="AW48" s="982"/>
      <c r="AX48" s="982"/>
      <c r="AY48" s="1398"/>
      <c r="AZ48" s="1398"/>
      <c r="BA48" s="1398"/>
      <c r="BB48" s="1398"/>
      <c r="BC48" s="1398"/>
      <c r="BD48" s="1398"/>
      <c r="BE48" s="982"/>
      <c r="BF48" s="982"/>
      <c r="BG48" s="982"/>
      <c r="BH48" s="982"/>
      <c r="BI48" s="982"/>
      <c r="BJ48" s="982"/>
      <c r="BK48" s="982"/>
      <c r="BL48" s="982"/>
      <c r="BM48" s="982"/>
      <c r="BN48" s="982"/>
      <c r="BO48" s="982"/>
      <c r="BP48" s="982"/>
      <c r="BQ48" s="982"/>
      <c r="BR48" s="982"/>
      <c r="BS48" s="982"/>
      <c r="BT48" s="982"/>
      <c r="BU48" s="982"/>
      <c r="BV48" s="982"/>
      <c r="BW48" s="982"/>
      <c r="BX48" s="982"/>
      <c r="BY48" s="982"/>
      <c r="BZ48" s="982"/>
      <c r="CA48" s="982"/>
      <c r="CB48" s="982"/>
      <c r="CC48" s="982"/>
      <c r="CD48" s="982"/>
      <c r="CE48" s="982"/>
      <c r="CF48" s="982"/>
      <c r="CG48" s="982"/>
      <c r="CH48" s="982"/>
      <c r="CI48" s="982"/>
      <c r="CJ48" s="982"/>
      <c r="CK48" s="982"/>
      <c r="CL48" s="982"/>
      <c r="CM48" s="982"/>
      <c r="CN48" s="982"/>
      <c r="CO48" s="1401"/>
      <c r="CP48" s="1400"/>
      <c r="CQ48" s="1400"/>
      <c r="CR48" s="1400"/>
      <c r="CS48" s="1400"/>
      <c r="CT48" s="1400"/>
      <c r="CV48" s="1022"/>
      <c r="CW48" s="1022"/>
      <c r="CX48" s="1022"/>
      <c r="CY48" s="1022"/>
      <c r="CZ48" s="1022"/>
      <c r="DA48" s="1022"/>
    </row>
    <row r="49" spans="3:105" ht="17.100000000000001" customHeight="1">
      <c r="C49" s="982"/>
      <c r="D49" s="982"/>
      <c r="E49" s="982"/>
      <c r="F49" s="982"/>
      <c r="G49" s="982"/>
      <c r="H49" s="982"/>
      <c r="I49" s="982"/>
      <c r="J49" s="982"/>
      <c r="K49" s="982"/>
      <c r="L49" s="982"/>
      <c r="M49" s="982"/>
      <c r="N49" s="982"/>
      <c r="O49" s="982"/>
      <c r="P49" s="982"/>
      <c r="Q49" s="982"/>
      <c r="R49" s="982"/>
      <c r="S49" s="982"/>
      <c r="T49" s="982"/>
      <c r="U49" s="982"/>
      <c r="V49" s="982"/>
      <c r="W49" s="982"/>
      <c r="X49" s="982"/>
      <c r="Y49" s="982"/>
      <c r="Z49" s="982"/>
      <c r="AA49" s="982"/>
      <c r="AB49" s="982"/>
      <c r="AC49" s="982"/>
      <c r="AD49" s="982"/>
      <c r="AE49" s="982"/>
      <c r="AF49" s="982"/>
      <c r="AG49" s="982"/>
      <c r="AH49" s="982"/>
      <c r="AI49" s="982"/>
      <c r="AJ49" s="982"/>
      <c r="AK49" s="982"/>
      <c r="AL49" s="982"/>
      <c r="AM49" s="982"/>
      <c r="AN49" s="982"/>
      <c r="AO49" s="982"/>
      <c r="AP49" s="982"/>
      <c r="AQ49" s="982"/>
      <c r="AR49" s="982"/>
      <c r="AS49" s="982"/>
      <c r="AT49" s="982"/>
      <c r="AU49" s="982"/>
      <c r="AV49" s="982"/>
      <c r="AW49" s="982"/>
      <c r="AX49" s="982"/>
      <c r="AY49" s="1398"/>
      <c r="AZ49" s="1398"/>
      <c r="BA49" s="1398"/>
      <c r="BB49" s="1398"/>
      <c r="BC49" s="1398"/>
      <c r="BD49" s="1398"/>
      <c r="BE49" s="982"/>
      <c r="BF49" s="982"/>
      <c r="BG49" s="982"/>
      <c r="BH49" s="982"/>
      <c r="BI49" s="982"/>
      <c r="BJ49" s="982"/>
      <c r="BK49" s="982"/>
      <c r="BL49" s="982"/>
      <c r="BM49" s="982"/>
      <c r="BN49" s="982"/>
      <c r="BO49" s="982"/>
      <c r="BP49" s="982"/>
      <c r="BQ49" s="982"/>
      <c r="BR49" s="982"/>
      <c r="BS49" s="982"/>
      <c r="BT49" s="982"/>
      <c r="BU49" s="982"/>
      <c r="BV49" s="982"/>
      <c r="BW49" s="982"/>
      <c r="BX49" s="982"/>
      <c r="BY49" s="982"/>
      <c r="BZ49" s="982"/>
      <c r="CA49" s="982"/>
      <c r="CB49" s="982"/>
      <c r="CC49" s="982"/>
      <c r="CD49" s="982"/>
      <c r="CE49" s="982"/>
      <c r="CF49" s="982"/>
      <c r="CG49" s="982"/>
      <c r="CH49" s="982"/>
      <c r="CI49" s="982"/>
      <c r="CJ49" s="982"/>
      <c r="CK49" s="982"/>
      <c r="CL49" s="982"/>
      <c r="CM49" s="982"/>
      <c r="CN49" s="982"/>
      <c r="CO49" s="1401"/>
      <c r="CP49" s="1400"/>
      <c r="CQ49" s="1400"/>
      <c r="CR49" s="1400"/>
      <c r="CS49" s="1400"/>
      <c r="CT49" s="1400"/>
      <c r="CV49" s="1022"/>
      <c r="CW49" s="1022"/>
      <c r="CX49" s="1022"/>
      <c r="CY49" s="1022"/>
      <c r="CZ49" s="1022"/>
      <c r="DA49" s="1022"/>
    </row>
    <row r="50" spans="3:105" ht="17.100000000000001" customHeight="1">
      <c r="C50" s="982"/>
      <c r="D50" s="982"/>
      <c r="E50" s="982"/>
      <c r="F50" s="982"/>
      <c r="G50" s="982"/>
      <c r="H50" s="982"/>
      <c r="I50" s="982"/>
      <c r="J50" s="982"/>
      <c r="K50" s="982"/>
      <c r="L50" s="982"/>
      <c r="M50" s="982"/>
      <c r="N50" s="982"/>
      <c r="O50" s="982"/>
      <c r="P50" s="982"/>
      <c r="Q50" s="982"/>
      <c r="R50" s="982"/>
      <c r="S50" s="982"/>
      <c r="T50" s="982"/>
      <c r="U50" s="982"/>
      <c r="V50" s="982"/>
      <c r="W50" s="982"/>
      <c r="X50" s="982"/>
      <c r="Y50" s="982"/>
      <c r="Z50" s="982"/>
      <c r="AA50" s="982"/>
      <c r="AB50" s="982"/>
      <c r="AC50" s="982"/>
      <c r="AD50" s="982"/>
      <c r="AE50" s="982"/>
      <c r="AF50" s="982"/>
      <c r="AG50" s="982"/>
      <c r="AH50" s="982"/>
      <c r="AI50" s="982"/>
      <c r="AJ50" s="982"/>
      <c r="AK50" s="982"/>
      <c r="AL50" s="982"/>
      <c r="AM50" s="982"/>
      <c r="AN50" s="982"/>
      <c r="AO50" s="982"/>
      <c r="AP50" s="982"/>
      <c r="AQ50" s="982"/>
      <c r="AR50" s="982"/>
      <c r="AS50" s="982"/>
      <c r="AT50" s="982"/>
      <c r="AU50" s="982"/>
      <c r="AV50" s="982"/>
      <c r="AW50" s="982"/>
      <c r="AX50" s="982"/>
      <c r="AY50" s="1398"/>
      <c r="AZ50" s="1398"/>
      <c r="BA50" s="1398"/>
      <c r="BB50" s="1398"/>
      <c r="BC50" s="1398"/>
      <c r="BD50" s="1398"/>
      <c r="BE50" s="982"/>
      <c r="BF50" s="982"/>
      <c r="BG50" s="982"/>
      <c r="BH50" s="982"/>
      <c r="BI50" s="982"/>
      <c r="BJ50" s="982"/>
      <c r="BK50" s="982"/>
      <c r="BL50" s="982"/>
      <c r="BM50" s="982"/>
      <c r="BN50" s="982"/>
      <c r="BO50" s="982"/>
      <c r="BP50" s="982"/>
      <c r="BQ50" s="982"/>
      <c r="BR50" s="982"/>
      <c r="BS50" s="982"/>
      <c r="BT50" s="982"/>
      <c r="BU50" s="982"/>
      <c r="BV50" s="982"/>
      <c r="BW50" s="982"/>
      <c r="BX50" s="982"/>
      <c r="BY50" s="982"/>
      <c r="BZ50" s="982"/>
      <c r="CA50" s="982"/>
      <c r="CB50" s="982"/>
      <c r="CC50" s="982"/>
      <c r="CD50" s="982"/>
      <c r="CE50" s="982"/>
      <c r="CF50" s="982"/>
      <c r="CG50" s="982"/>
      <c r="CH50" s="982"/>
      <c r="CI50" s="982"/>
      <c r="CJ50" s="982"/>
      <c r="CK50" s="982"/>
      <c r="CL50" s="982"/>
      <c r="CM50" s="982"/>
      <c r="CN50" s="982"/>
      <c r="CO50" s="1401"/>
      <c r="CP50" s="1400"/>
      <c r="CQ50" s="1400"/>
      <c r="CR50" s="1400"/>
      <c r="CS50" s="1400"/>
      <c r="CT50" s="1400"/>
      <c r="CV50" s="1022"/>
      <c r="CW50" s="1022"/>
      <c r="CX50" s="1022"/>
      <c r="CY50" s="1022"/>
      <c r="CZ50" s="1022"/>
      <c r="DA50" s="1022"/>
    </row>
    <row r="51" spans="3:105" ht="17.100000000000001" customHeight="1">
      <c r="C51" s="982"/>
      <c r="D51" s="982"/>
      <c r="E51" s="982"/>
      <c r="F51" s="982"/>
      <c r="G51" s="982"/>
      <c r="H51" s="982"/>
      <c r="I51" s="982"/>
      <c r="J51" s="982"/>
      <c r="K51" s="982"/>
      <c r="L51" s="982"/>
      <c r="M51" s="982"/>
      <c r="N51" s="982"/>
      <c r="O51" s="982"/>
      <c r="P51" s="982"/>
      <c r="Q51" s="982"/>
      <c r="R51" s="982"/>
      <c r="S51" s="982"/>
      <c r="T51" s="982"/>
      <c r="U51" s="982"/>
      <c r="V51" s="982"/>
      <c r="W51" s="982"/>
      <c r="X51" s="982"/>
      <c r="Y51" s="982"/>
      <c r="Z51" s="982"/>
      <c r="AA51" s="982"/>
      <c r="AB51" s="982"/>
      <c r="AC51" s="982"/>
      <c r="AD51" s="982"/>
      <c r="AE51" s="982"/>
      <c r="AF51" s="982"/>
      <c r="AG51" s="982"/>
      <c r="AH51" s="982"/>
      <c r="AI51" s="982"/>
      <c r="AJ51" s="982"/>
      <c r="AK51" s="982"/>
      <c r="AL51" s="982"/>
      <c r="AM51" s="982"/>
      <c r="AN51" s="982"/>
      <c r="AO51" s="982"/>
      <c r="AP51" s="982"/>
      <c r="AQ51" s="982"/>
      <c r="AR51" s="982"/>
      <c r="AS51" s="982"/>
      <c r="AT51" s="982"/>
      <c r="AU51" s="982"/>
      <c r="AV51" s="982"/>
      <c r="AW51" s="982"/>
      <c r="AX51" s="982"/>
      <c r="AY51" s="1398"/>
      <c r="AZ51" s="1398"/>
      <c r="BA51" s="1398"/>
      <c r="BB51" s="1398"/>
      <c r="BC51" s="1398"/>
      <c r="BD51" s="1398"/>
      <c r="BE51" s="982"/>
      <c r="BF51" s="982"/>
      <c r="BG51" s="982"/>
      <c r="BH51" s="982"/>
      <c r="BI51" s="982"/>
      <c r="BJ51" s="982"/>
      <c r="BK51" s="982"/>
      <c r="BL51" s="982"/>
      <c r="BM51" s="982"/>
      <c r="BN51" s="982"/>
      <c r="BO51" s="982"/>
      <c r="BP51" s="982"/>
      <c r="BQ51" s="982"/>
      <c r="BR51" s="982"/>
      <c r="BS51" s="982"/>
      <c r="BT51" s="982"/>
      <c r="BU51" s="982"/>
      <c r="BV51" s="982"/>
      <c r="BW51" s="982"/>
      <c r="BX51" s="982"/>
      <c r="BY51" s="982"/>
      <c r="BZ51" s="982"/>
      <c r="CA51" s="982"/>
      <c r="CB51" s="982"/>
      <c r="CC51" s="982"/>
      <c r="CD51" s="982"/>
      <c r="CE51" s="982"/>
      <c r="CF51" s="982"/>
      <c r="CG51" s="982"/>
      <c r="CH51" s="982"/>
      <c r="CI51" s="982"/>
      <c r="CJ51" s="982"/>
      <c r="CK51" s="982"/>
      <c r="CL51" s="982"/>
      <c r="CM51" s="982"/>
      <c r="CN51" s="982"/>
      <c r="CO51" s="1401"/>
      <c r="CP51" s="1400"/>
      <c r="CQ51" s="1400"/>
      <c r="CR51" s="1400"/>
      <c r="CS51" s="1400"/>
      <c r="CT51" s="1400"/>
      <c r="CV51" s="1022"/>
      <c r="CW51" s="1022"/>
      <c r="CX51" s="1022"/>
      <c r="CY51" s="1022"/>
      <c r="CZ51" s="1022"/>
      <c r="DA51" s="1022"/>
    </row>
    <row r="52" spans="3:105" ht="17.100000000000001" customHeight="1">
      <c r="C52" s="982"/>
      <c r="D52" s="982"/>
      <c r="E52" s="982"/>
      <c r="F52" s="982"/>
      <c r="G52" s="982"/>
      <c r="H52" s="982"/>
      <c r="I52" s="982"/>
      <c r="J52" s="982"/>
      <c r="K52" s="982"/>
      <c r="L52" s="982"/>
      <c r="M52" s="982"/>
      <c r="N52" s="982"/>
      <c r="O52" s="982"/>
      <c r="P52" s="982"/>
      <c r="Q52" s="982"/>
      <c r="R52" s="982"/>
      <c r="S52" s="982"/>
      <c r="T52" s="982"/>
      <c r="U52" s="982"/>
      <c r="V52" s="982"/>
      <c r="W52" s="982"/>
      <c r="X52" s="982"/>
      <c r="Y52" s="982"/>
      <c r="Z52" s="982"/>
      <c r="AA52" s="982"/>
      <c r="AB52" s="982"/>
      <c r="AC52" s="982"/>
      <c r="AD52" s="982"/>
      <c r="AE52" s="982"/>
      <c r="AF52" s="982"/>
      <c r="AG52" s="982"/>
      <c r="AH52" s="982"/>
      <c r="AI52" s="982"/>
      <c r="AJ52" s="982"/>
      <c r="AK52" s="982"/>
      <c r="AL52" s="982"/>
      <c r="AM52" s="982"/>
      <c r="AN52" s="982"/>
      <c r="AO52" s="982"/>
      <c r="AP52" s="982"/>
      <c r="AQ52" s="982"/>
      <c r="AR52" s="982"/>
      <c r="AS52" s="982"/>
      <c r="AT52" s="982"/>
      <c r="AU52" s="982"/>
      <c r="AV52" s="982"/>
      <c r="AW52" s="982"/>
      <c r="AX52" s="982"/>
      <c r="AY52" s="1398"/>
      <c r="AZ52" s="1398"/>
      <c r="BA52" s="1398"/>
      <c r="BB52" s="1398"/>
      <c r="BC52" s="1398"/>
      <c r="BD52" s="1398"/>
      <c r="BE52" s="982"/>
      <c r="BF52" s="982"/>
      <c r="BG52" s="982"/>
      <c r="BH52" s="982"/>
      <c r="BI52" s="982"/>
      <c r="BJ52" s="982"/>
      <c r="BK52" s="982"/>
      <c r="BL52" s="982"/>
      <c r="BM52" s="982"/>
      <c r="BN52" s="982"/>
      <c r="BO52" s="982"/>
      <c r="BP52" s="982"/>
      <c r="BQ52" s="982"/>
      <c r="BR52" s="982"/>
      <c r="BS52" s="982"/>
      <c r="BT52" s="982"/>
      <c r="BU52" s="982"/>
      <c r="BV52" s="982"/>
      <c r="BW52" s="982"/>
      <c r="BX52" s="982"/>
      <c r="BY52" s="982"/>
      <c r="BZ52" s="982"/>
      <c r="CA52" s="982"/>
      <c r="CB52" s="982"/>
      <c r="CC52" s="982"/>
      <c r="CD52" s="982"/>
      <c r="CE52" s="982"/>
      <c r="CF52" s="982"/>
      <c r="CG52" s="982"/>
      <c r="CH52" s="982"/>
      <c r="CI52" s="982"/>
      <c r="CJ52" s="982"/>
      <c r="CK52" s="982"/>
      <c r="CL52" s="982"/>
      <c r="CM52" s="982"/>
      <c r="CN52" s="982"/>
      <c r="CO52" s="1401"/>
      <c r="CP52" s="1400"/>
      <c r="CQ52" s="1400"/>
      <c r="CR52" s="1400"/>
      <c r="CS52" s="1400"/>
      <c r="CT52" s="1400"/>
      <c r="CV52" s="1022"/>
      <c r="CW52" s="1022"/>
      <c r="CX52" s="1022"/>
      <c r="CY52" s="1022"/>
      <c r="CZ52" s="1022"/>
      <c r="DA52" s="1022"/>
    </row>
    <row r="53" spans="3:105" ht="17.100000000000001" customHeight="1">
      <c r="C53" s="982"/>
      <c r="D53" s="982"/>
      <c r="E53" s="982"/>
      <c r="F53" s="982"/>
      <c r="G53" s="982"/>
      <c r="H53" s="982"/>
      <c r="I53" s="982"/>
      <c r="J53" s="982"/>
      <c r="K53" s="982"/>
      <c r="L53" s="982"/>
      <c r="M53" s="982"/>
      <c r="N53" s="982"/>
      <c r="O53" s="982"/>
      <c r="P53" s="982"/>
      <c r="Q53" s="982"/>
      <c r="R53" s="982"/>
      <c r="S53" s="982"/>
      <c r="T53" s="982"/>
      <c r="U53" s="982"/>
      <c r="V53" s="982"/>
      <c r="W53" s="982"/>
      <c r="X53" s="982"/>
      <c r="Y53" s="982"/>
      <c r="Z53" s="982"/>
      <c r="AA53" s="982"/>
      <c r="AB53" s="982"/>
      <c r="AC53" s="982"/>
      <c r="AD53" s="982"/>
      <c r="AE53" s="982"/>
      <c r="AF53" s="982"/>
      <c r="AG53" s="982"/>
      <c r="AH53" s="982"/>
      <c r="AI53" s="982"/>
      <c r="AJ53" s="982"/>
      <c r="AK53" s="982"/>
      <c r="AL53" s="982"/>
      <c r="AM53" s="982"/>
      <c r="AN53" s="982"/>
      <c r="AO53" s="982"/>
      <c r="AP53" s="982"/>
      <c r="AQ53" s="982"/>
      <c r="AR53" s="982"/>
      <c r="AS53" s="982"/>
      <c r="AT53" s="982"/>
      <c r="AU53" s="982"/>
      <c r="AV53" s="982"/>
      <c r="AW53" s="982"/>
      <c r="AX53" s="982"/>
      <c r="AY53" s="1398"/>
      <c r="AZ53" s="1398"/>
      <c r="BA53" s="1398"/>
      <c r="BB53" s="1398"/>
      <c r="BC53" s="1398"/>
      <c r="BD53" s="1398"/>
      <c r="BE53" s="982"/>
      <c r="BF53" s="982"/>
      <c r="BG53" s="982"/>
      <c r="BH53" s="982"/>
      <c r="BI53" s="982"/>
      <c r="BJ53" s="982"/>
      <c r="BK53" s="982"/>
      <c r="BL53" s="982"/>
      <c r="BM53" s="982"/>
      <c r="BN53" s="982"/>
      <c r="BO53" s="982"/>
      <c r="BP53" s="982"/>
      <c r="BQ53" s="982"/>
      <c r="BR53" s="982"/>
      <c r="BS53" s="982"/>
      <c r="BT53" s="982"/>
      <c r="BU53" s="982"/>
      <c r="BV53" s="982"/>
      <c r="BW53" s="982"/>
      <c r="BX53" s="982"/>
      <c r="BY53" s="982"/>
      <c r="BZ53" s="982"/>
      <c r="CA53" s="982"/>
      <c r="CB53" s="982"/>
      <c r="CC53" s="982"/>
      <c r="CD53" s="982"/>
      <c r="CE53" s="982"/>
      <c r="CF53" s="982"/>
      <c r="CG53" s="982"/>
      <c r="CH53" s="982"/>
      <c r="CI53" s="982"/>
      <c r="CJ53" s="982"/>
      <c r="CK53" s="982"/>
      <c r="CL53" s="982"/>
      <c r="CM53" s="982"/>
      <c r="CN53" s="982"/>
      <c r="CO53" s="1401"/>
      <c r="CP53" s="1400"/>
      <c r="CQ53" s="1400"/>
      <c r="CR53" s="1400"/>
      <c r="CS53" s="1400"/>
      <c r="CT53" s="1400"/>
      <c r="CV53" s="1022"/>
      <c r="CW53" s="1022"/>
      <c r="CX53" s="1022"/>
      <c r="CY53" s="1022"/>
      <c r="CZ53" s="1022"/>
      <c r="DA53" s="1022"/>
    </row>
    <row r="54" spans="3:105" ht="17.100000000000001" customHeight="1">
      <c r="C54" s="982"/>
      <c r="D54" s="982"/>
      <c r="E54" s="982"/>
      <c r="F54" s="982"/>
      <c r="G54" s="982"/>
      <c r="H54" s="982"/>
      <c r="I54" s="982"/>
      <c r="J54" s="982"/>
      <c r="K54" s="982"/>
      <c r="L54" s="982"/>
      <c r="M54" s="982"/>
      <c r="N54" s="982"/>
      <c r="O54" s="982"/>
      <c r="P54" s="982"/>
      <c r="Q54" s="982"/>
      <c r="R54" s="982"/>
      <c r="S54" s="982"/>
      <c r="T54" s="982"/>
      <c r="U54" s="982"/>
      <c r="V54" s="982"/>
      <c r="W54" s="982"/>
      <c r="X54" s="982"/>
      <c r="Y54" s="982"/>
      <c r="Z54" s="982"/>
      <c r="AA54" s="982"/>
      <c r="AB54" s="982"/>
      <c r="AC54" s="982"/>
      <c r="AD54" s="982"/>
      <c r="AE54" s="982"/>
      <c r="AF54" s="982"/>
      <c r="AG54" s="982"/>
      <c r="AH54" s="982"/>
      <c r="AI54" s="982"/>
      <c r="AJ54" s="982"/>
      <c r="AK54" s="982"/>
      <c r="AL54" s="982"/>
      <c r="AM54" s="982"/>
      <c r="AN54" s="982"/>
      <c r="AO54" s="982"/>
      <c r="AP54" s="982"/>
      <c r="AQ54" s="982"/>
      <c r="AR54" s="982"/>
      <c r="AS54" s="982"/>
      <c r="AT54" s="982"/>
      <c r="AU54" s="982"/>
      <c r="AV54" s="982"/>
      <c r="AW54" s="982"/>
      <c r="AX54" s="982"/>
      <c r="AY54" s="1398"/>
      <c r="AZ54" s="1398"/>
      <c r="BA54" s="1398"/>
      <c r="BB54" s="1398"/>
      <c r="BC54" s="1398"/>
      <c r="BD54" s="1398"/>
      <c r="BE54" s="982"/>
      <c r="BF54" s="982"/>
      <c r="BG54" s="982"/>
      <c r="BH54" s="982"/>
      <c r="BI54" s="982"/>
      <c r="BJ54" s="982"/>
      <c r="BK54" s="982"/>
      <c r="BL54" s="982"/>
      <c r="BM54" s="982"/>
      <c r="BN54" s="982"/>
      <c r="BO54" s="982"/>
      <c r="BP54" s="982"/>
      <c r="BQ54" s="982"/>
      <c r="BR54" s="982"/>
      <c r="BS54" s="982"/>
      <c r="BT54" s="982"/>
      <c r="BU54" s="982"/>
      <c r="BV54" s="982"/>
      <c r="BW54" s="982"/>
      <c r="BX54" s="982"/>
      <c r="BY54" s="982"/>
      <c r="BZ54" s="982"/>
      <c r="CA54" s="982"/>
      <c r="CB54" s="982"/>
      <c r="CC54" s="982"/>
      <c r="CD54" s="982"/>
      <c r="CE54" s="982"/>
      <c r="CF54" s="982"/>
      <c r="CG54" s="982"/>
      <c r="CH54" s="982"/>
      <c r="CI54" s="982"/>
      <c r="CJ54" s="982"/>
      <c r="CK54" s="982"/>
      <c r="CL54" s="982"/>
      <c r="CM54" s="982"/>
      <c r="CN54" s="982"/>
      <c r="CO54" s="1402"/>
      <c r="CP54" s="1400"/>
      <c r="CQ54" s="1400"/>
      <c r="CR54" s="1400"/>
      <c r="CS54" s="1400"/>
      <c r="CT54" s="1400"/>
      <c r="CV54" s="1022"/>
      <c r="CW54" s="1022"/>
      <c r="CX54" s="1022"/>
      <c r="CY54" s="1022"/>
      <c r="CZ54" s="1022"/>
      <c r="DA54" s="1022"/>
    </row>
    <row r="55" spans="3:105" ht="17.100000000000001" customHeight="1">
      <c r="C55" s="982"/>
      <c r="D55" s="982"/>
      <c r="E55" s="982"/>
      <c r="F55" s="982"/>
      <c r="G55" s="982"/>
      <c r="H55" s="982"/>
      <c r="I55" s="982"/>
      <c r="J55" s="982"/>
      <c r="K55" s="982"/>
      <c r="L55" s="982"/>
      <c r="M55" s="982"/>
      <c r="N55" s="982"/>
      <c r="O55" s="982"/>
      <c r="P55" s="982"/>
      <c r="Q55" s="982"/>
      <c r="R55" s="982"/>
      <c r="S55" s="982"/>
      <c r="T55" s="982"/>
      <c r="U55" s="982"/>
      <c r="V55" s="982"/>
      <c r="W55" s="982"/>
      <c r="X55" s="982"/>
      <c r="Y55" s="982"/>
      <c r="Z55" s="982"/>
      <c r="AA55" s="982"/>
      <c r="AB55" s="982"/>
      <c r="AC55" s="982"/>
      <c r="AD55" s="982"/>
      <c r="AE55" s="982"/>
      <c r="AF55" s="982"/>
      <c r="AG55" s="982"/>
      <c r="AH55" s="982"/>
      <c r="AI55" s="982"/>
      <c r="AJ55" s="982"/>
      <c r="AK55" s="982"/>
      <c r="AL55" s="982"/>
      <c r="AM55" s="982"/>
      <c r="AN55" s="982"/>
      <c r="AO55" s="982"/>
      <c r="AP55" s="982"/>
      <c r="AQ55" s="982"/>
      <c r="AR55" s="982"/>
      <c r="AS55" s="982"/>
      <c r="AT55" s="982"/>
      <c r="AU55" s="982"/>
      <c r="AV55" s="982"/>
      <c r="AW55" s="982"/>
      <c r="AX55" s="982"/>
      <c r="AY55" s="1398"/>
      <c r="AZ55" s="1398"/>
      <c r="BA55" s="1398"/>
      <c r="BB55" s="1398"/>
      <c r="BC55" s="1398"/>
      <c r="BD55" s="1398"/>
      <c r="BE55" s="982"/>
      <c r="BF55" s="982"/>
      <c r="BG55" s="982"/>
      <c r="BH55" s="982"/>
      <c r="BI55" s="982"/>
      <c r="BJ55" s="982"/>
      <c r="BK55" s="982"/>
      <c r="BL55" s="982"/>
      <c r="BM55" s="982"/>
      <c r="BN55" s="982"/>
      <c r="BO55" s="982"/>
      <c r="BP55" s="982"/>
      <c r="BQ55" s="982"/>
      <c r="BR55" s="982"/>
      <c r="BS55" s="982"/>
      <c r="BT55" s="982"/>
      <c r="BU55" s="982"/>
      <c r="BV55" s="982"/>
      <c r="BW55" s="982"/>
      <c r="BX55" s="982"/>
      <c r="BY55" s="982"/>
      <c r="BZ55" s="982"/>
      <c r="CA55" s="982"/>
      <c r="CB55" s="982"/>
      <c r="CC55" s="982"/>
      <c r="CD55" s="982"/>
      <c r="CE55" s="982"/>
      <c r="CF55" s="982"/>
      <c r="CG55" s="982"/>
      <c r="CH55" s="982"/>
      <c r="CI55" s="982"/>
      <c r="CJ55" s="982"/>
      <c r="CK55" s="982"/>
      <c r="CL55" s="982"/>
      <c r="CM55" s="982"/>
      <c r="CN55" s="982"/>
      <c r="CO55" s="1401"/>
      <c r="CP55" s="1400"/>
      <c r="CQ55" s="1400"/>
      <c r="CR55" s="1400"/>
      <c r="CS55" s="1400"/>
      <c r="CT55" s="1400"/>
      <c r="CV55" s="1022"/>
      <c r="CW55" s="1022"/>
      <c r="CX55" s="1022"/>
      <c r="CY55" s="1022"/>
      <c r="CZ55" s="1022"/>
      <c r="DA55" s="1022"/>
    </row>
    <row r="56" spans="3:105" ht="17.100000000000001" customHeight="1">
      <c r="C56" s="982"/>
      <c r="D56" s="982"/>
      <c r="E56" s="982"/>
      <c r="F56" s="982"/>
      <c r="G56" s="982"/>
      <c r="H56" s="982"/>
      <c r="I56" s="982"/>
      <c r="J56" s="982"/>
      <c r="K56" s="982"/>
      <c r="L56" s="982"/>
      <c r="M56" s="982"/>
      <c r="N56" s="982"/>
      <c r="O56" s="982"/>
      <c r="P56" s="982"/>
      <c r="Q56" s="982"/>
      <c r="R56" s="982"/>
      <c r="S56" s="982"/>
      <c r="T56" s="982"/>
      <c r="U56" s="982"/>
      <c r="V56" s="982"/>
      <c r="W56" s="982"/>
      <c r="X56" s="982"/>
      <c r="Y56" s="982"/>
      <c r="Z56" s="982"/>
      <c r="AA56" s="982"/>
      <c r="AB56" s="982"/>
      <c r="AC56" s="982"/>
      <c r="AD56" s="982"/>
      <c r="AE56" s="982"/>
      <c r="AF56" s="982"/>
      <c r="AG56" s="982"/>
      <c r="AH56" s="982"/>
      <c r="AI56" s="982"/>
      <c r="AJ56" s="982"/>
      <c r="AK56" s="982"/>
      <c r="AL56" s="982"/>
      <c r="AM56" s="982"/>
      <c r="AN56" s="982"/>
      <c r="AO56" s="982"/>
      <c r="AP56" s="982"/>
      <c r="AQ56" s="982"/>
      <c r="AR56" s="982"/>
      <c r="AS56" s="982"/>
      <c r="AT56" s="982"/>
      <c r="AU56" s="982"/>
      <c r="AV56" s="982"/>
      <c r="AW56" s="982"/>
      <c r="AX56" s="982"/>
      <c r="AY56" s="1398"/>
      <c r="AZ56" s="1398"/>
      <c r="BA56" s="1398"/>
      <c r="BB56" s="1398"/>
      <c r="BC56" s="1398"/>
      <c r="BD56" s="1398"/>
      <c r="BE56" s="982"/>
      <c r="BF56" s="982"/>
      <c r="BG56" s="982"/>
      <c r="BH56" s="982"/>
      <c r="BI56" s="982"/>
      <c r="BJ56" s="982"/>
      <c r="BK56" s="982"/>
      <c r="BL56" s="982"/>
      <c r="BM56" s="982"/>
      <c r="BN56" s="982"/>
      <c r="BO56" s="982"/>
      <c r="BP56" s="982"/>
      <c r="BQ56" s="982"/>
      <c r="BR56" s="982"/>
      <c r="BS56" s="982"/>
      <c r="BT56" s="982"/>
      <c r="BU56" s="982"/>
      <c r="BV56" s="982"/>
      <c r="BW56" s="982"/>
      <c r="BX56" s="982"/>
      <c r="BY56" s="982"/>
      <c r="BZ56" s="982"/>
      <c r="CA56" s="982"/>
      <c r="CB56" s="982"/>
      <c r="CC56" s="982"/>
      <c r="CD56" s="982"/>
      <c r="CE56" s="982"/>
      <c r="CF56" s="982"/>
      <c r="CG56" s="982"/>
      <c r="CH56" s="982"/>
      <c r="CI56" s="982"/>
      <c r="CJ56" s="982"/>
      <c r="CK56" s="982"/>
      <c r="CL56" s="982"/>
      <c r="CM56" s="982"/>
      <c r="CN56" s="982"/>
      <c r="CO56" s="1401"/>
      <c r="CP56" s="1400"/>
      <c r="CQ56" s="1400"/>
      <c r="CR56" s="1400"/>
      <c r="CS56" s="1400"/>
      <c r="CT56" s="1400"/>
      <c r="CV56" s="1022"/>
      <c r="CW56" s="1022"/>
      <c r="CX56" s="1022"/>
      <c r="CY56" s="1022"/>
      <c r="CZ56" s="1022"/>
      <c r="DA56" s="1022"/>
    </row>
    <row r="57" spans="3:105" ht="17.100000000000001" customHeight="1">
      <c r="C57" s="982"/>
      <c r="D57" s="982"/>
      <c r="E57" s="982"/>
      <c r="F57" s="982"/>
      <c r="G57" s="982"/>
      <c r="H57" s="982"/>
      <c r="I57" s="982"/>
      <c r="J57" s="982"/>
      <c r="K57" s="982"/>
      <c r="L57" s="982"/>
      <c r="M57" s="982"/>
      <c r="N57" s="982"/>
      <c r="O57" s="982"/>
      <c r="P57" s="982"/>
      <c r="Q57" s="982"/>
      <c r="R57" s="982"/>
      <c r="S57" s="982"/>
      <c r="T57" s="982"/>
      <c r="U57" s="982"/>
      <c r="V57" s="982"/>
      <c r="W57" s="982"/>
      <c r="X57" s="982"/>
      <c r="Y57" s="982"/>
      <c r="Z57" s="982"/>
      <c r="AA57" s="982"/>
      <c r="AB57" s="982"/>
      <c r="AC57" s="982"/>
      <c r="AD57" s="982"/>
      <c r="AE57" s="982"/>
      <c r="AF57" s="982"/>
      <c r="AG57" s="982"/>
      <c r="AH57" s="982"/>
      <c r="AI57" s="982"/>
      <c r="AJ57" s="982"/>
      <c r="AK57" s="982"/>
      <c r="AL57" s="982"/>
      <c r="AM57" s="982"/>
      <c r="AN57" s="982"/>
      <c r="AO57" s="982"/>
      <c r="AP57" s="982"/>
      <c r="AQ57" s="982"/>
      <c r="AR57" s="982"/>
      <c r="AS57" s="982"/>
      <c r="AT57" s="982"/>
      <c r="AU57" s="982"/>
      <c r="AV57" s="982"/>
      <c r="AW57" s="982"/>
      <c r="AX57" s="982"/>
      <c r="AY57" s="1398"/>
      <c r="AZ57" s="1398"/>
      <c r="BA57" s="1398"/>
      <c r="BB57" s="1398"/>
      <c r="BC57" s="1398"/>
      <c r="BD57" s="1398"/>
      <c r="BE57" s="982"/>
      <c r="BF57" s="982"/>
      <c r="BG57" s="982"/>
      <c r="BH57" s="982"/>
      <c r="BI57" s="982"/>
      <c r="BJ57" s="982"/>
      <c r="BK57" s="982"/>
      <c r="BL57" s="982"/>
      <c r="BM57" s="982"/>
      <c r="BN57" s="982"/>
      <c r="BO57" s="982"/>
      <c r="BP57" s="982"/>
      <c r="BQ57" s="982"/>
      <c r="BR57" s="982"/>
      <c r="BS57" s="982"/>
      <c r="BT57" s="982"/>
      <c r="BU57" s="982"/>
      <c r="BV57" s="982"/>
      <c r="BW57" s="982"/>
      <c r="BX57" s="982"/>
      <c r="BY57" s="982"/>
      <c r="BZ57" s="982"/>
      <c r="CA57" s="982"/>
      <c r="CB57" s="982"/>
      <c r="CC57" s="982"/>
      <c r="CD57" s="982"/>
      <c r="CE57" s="982"/>
      <c r="CF57" s="982"/>
      <c r="CG57" s="982"/>
      <c r="CH57" s="982"/>
      <c r="CI57" s="982"/>
      <c r="CJ57" s="982"/>
      <c r="CK57" s="982"/>
      <c r="CL57" s="982"/>
      <c r="CM57" s="982"/>
      <c r="CN57" s="982"/>
      <c r="CO57" s="1401"/>
      <c r="CP57" s="1400"/>
      <c r="CQ57" s="1400"/>
      <c r="CR57" s="1400"/>
      <c r="CS57" s="1400"/>
      <c r="CT57" s="1400"/>
      <c r="CV57" s="1022"/>
      <c r="CW57" s="1022"/>
      <c r="CX57" s="1022"/>
      <c r="CY57" s="1022"/>
      <c r="CZ57" s="1022"/>
      <c r="DA57" s="1022"/>
    </row>
    <row r="58" spans="3:105" ht="17.100000000000001" customHeight="1">
      <c r="C58" s="982"/>
      <c r="D58" s="982"/>
      <c r="E58" s="982"/>
      <c r="F58" s="982"/>
      <c r="G58" s="982"/>
      <c r="H58" s="982"/>
      <c r="I58" s="982"/>
      <c r="J58" s="982"/>
      <c r="K58" s="982"/>
      <c r="L58" s="982"/>
      <c r="M58" s="982"/>
      <c r="N58" s="982"/>
      <c r="O58" s="982"/>
      <c r="P58" s="982"/>
      <c r="Q58" s="982"/>
      <c r="R58" s="982"/>
      <c r="S58" s="982"/>
      <c r="T58" s="982"/>
      <c r="U58" s="982"/>
      <c r="V58" s="982"/>
      <c r="W58" s="982"/>
      <c r="X58" s="982"/>
      <c r="Y58" s="982"/>
      <c r="Z58" s="982"/>
      <c r="AA58" s="982"/>
      <c r="AB58" s="982"/>
      <c r="AC58" s="982"/>
      <c r="AD58" s="982"/>
      <c r="AE58" s="982"/>
      <c r="AF58" s="982"/>
      <c r="AG58" s="982"/>
      <c r="AH58" s="982"/>
      <c r="AI58" s="982"/>
      <c r="AJ58" s="982"/>
      <c r="AK58" s="982"/>
      <c r="AL58" s="982"/>
      <c r="AM58" s="982"/>
      <c r="AN58" s="982"/>
      <c r="AO58" s="982"/>
      <c r="AP58" s="982"/>
      <c r="AQ58" s="982"/>
      <c r="AR58" s="982"/>
      <c r="AS58" s="982"/>
      <c r="AT58" s="982"/>
      <c r="AU58" s="982"/>
      <c r="AV58" s="982"/>
      <c r="AW58" s="982"/>
      <c r="AX58" s="982"/>
      <c r="AY58" s="1398"/>
      <c r="AZ58" s="1398"/>
      <c r="BA58" s="1398"/>
      <c r="BB58" s="1398"/>
      <c r="BC58" s="1398"/>
      <c r="BD58" s="1398"/>
      <c r="BE58" s="982"/>
      <c r="BF58" s="982"/>
      <c r="BG58" s="982"/>
      <c r="BH58" s="982"/>
      <c r="BI58" s="982"/>
      <c r="BJ58" s="982"/>
      <c r="BK58" s="982"/>
      <c r="BL58" s="982"/>
      <c r="BM58" s="982"/>
      <c r="BN58" s="982"/>
      <c r="BO58" s="982"/>
      <c r="BP58" s="982"/>
      <c r="BQ58" s="982"/>
      <c r="BR58" s="982"/>
      <c r="BS58" s="982"/>
      <c r="BT58" s="982"/>
      <c r="BU58" s="982"/>
      <c r="BV58" s="982"/>
      <c r="BW58" s="982"/>
      <c r="BX58" s="982"/>
      <c r="BY58" s="982"/>
      <c r="BZ58" s="982"/>
      <c r="CA58" s="982"/>
      <c r="CB58" s="982"/>
      <c r="CC58" s="982"/>
      <c r="CD58" s="982"/>
      <c r="CE58" s="982"/>
      <c r="CF58" s="982"/>
      <c r="CG58" s="982"/>
      <c r="CH58" s="982"/>
      <c r="CI58" s="982"/>
      <c r="CJ58" s="982"/>
      <c r="CK58" s="982"/>
      <c r="CL58" s="982"/>
      <c r="CM58" s="982"/>
      <c r="CN58" s="982"/>
      <c r="CO58" s="1401"/>
      <c r="CP58" s="1400"/>
      <c r="CQ58" s="1400"/>
      <c r="CR58" s="1400"/>
      <c r="CS58" s="1400"/>
      <c r="CT58" s="1400"/>
      <c r="CV58" s="1022"/>
      <c r="CW58" s="1022"/>
      <c r="CX58" s="1022"/>
      <c r="CY58" s="1022"/>
      <c r="CZ58" s="1022"/>
      <c r="DA58" s="1022"/>
    </row>
    <row r="59" spans="3:105" ht="17.100000000000001" customHeight="1">
      <c r="C59" s="982"/>
      <c r="D59" s="982"/>
      <c r="E59" s="982"/>
      <c r="F59" s="982"/>
      <c r="G59" s="982"/>
      <c r="H59" s="982"/>
      <c r="I59" s="982"/>
      <c r="J59" s="982"/>
      <c r="K59" s="982"/>
      <c r="L59" s="982"/>
      <c r="M59" s="982"/>
      <c r="N59" s="982"/>
      <c r="O59" s="982"/>
      <c r="P59" s="982"/>
      <c r="Q59" s="982"/>
      <c r="R59" s="982"/>
      <c r="S59" s="982"/>
      <c r="T59" s="982"/>
      <c r="U59" s="982"/>
      <c r="V59" s="982"/>
      <c r="W59" s="982"/>
      <c r="X59" s="982"/>
      <c r="Y59" s="982"/>
      <c r="Z59" s="982"/>
      <c r="AA59" s="982"/>
      <c r="AB59" s="982"/>
      <c r="AC59" s="982"/>
      <c r="AD59" s="982"/>
      <c r="AE59" s="982"/>
      <c r="AF59" s="982"/>
      <c r="AG59" s="982"/>
      <c r="AH59" s="982"/>
      <c r="AI59" s="982"/>
      <c r="AJ59" s="982"/>
      <c r="AK59" s="982"/>
      <c r="AL59" s="982"/>
      <c r="AM59" s="982"/>
      <c r="AN59" s="982"/>
      <c r="AO59" s="982"/>
      <c r="AP59" s="982"/>
      <c r="AQ59" s="982"/>
      <c r="AR59" s="982"/>
      <c r="AS59" s="982"/>
      <c r="AT59" s="982"/>
      <c r="AU59" s="982"/>
      <c r="AV59" s="982"/>
      <c r="AW59" s="982"/>
      <c r="AX59" s="982"/>
      <c r="AY59" s="1398"/>
      <c r="AZ59" s="1398"/>
      <c r="BA59" s="1398"/>
      <c r="BB59" s="1398"/>
      <c r="BC59" s="1398"/>
      <c r="BD59" s="1398"/>
      <c r="BE59" s="982"/>
      <c r="BF59" s="982"/>
      <c r="BG59" s="982"/>
      <c r="BH59" s="982"/>
      <c r="BI59" s="982"/>
      <c r="BJ59" s="982"/>
      <c r="BK59" s="982"/>
      <c r="BL59" s="982"/>
      <c r="BM59" s="982"/>
      <c r="BN59" s="982"/>
      <c r="BO59" s="982"/>
      <c r="BP59" s="982"/>
      <c r="BQ59" s="982"/>
      <c r="BR59" s="982"/>
      <c r="BS59" s="982"/>
      <c r="BT59" s="982"/>
      <c r="BU59" s="982"/>
      <c r="BV59" s="982"/>
      <c r="BW59" s="982"/>
      <c r="BX59" s="982"/>
      <c r="BY59" s="982"/>
      <c r="BZ59" s="982"/>
      <c r="CA59" s="982"/>
      <c r="CB59" s="982"/>
      <c r="CC59" s="982"/>
      <c r="CD59" s="982"/>
      <c r="CE59" s="982"/>
      <c r="CF59" s="982"/>
      <c r="CG59" s="982"/>
      <c r="CH59" s="982"/>
      <c r="CI59" s="982"/>
      <c r="CJ59" s="982"/>
      <c r="CK59" s="982"/>
      <c r="CL59" s="982"/>
      <c r="CM59" s="982"/>
      <c r="CN59" s="982"/>
      <c r="CO59" s="1401"/>
      <c r="CP59" s="1400"/>
      <c r="CQ59" s="1400"/>
      <c r="CR59" s="1400"/>
      <c r="CS59" s="1400"/>
      <c r="CT59" s="1400"/>
      <c r="CV59" s="1022"/>
      <c r="CW59" s="1022"/>
      <c r="CX59" s="1022"/>
      <c r="CY59" s="1022"/>
      <c r="CZ59" s="1022"/>
      <c r="DA59" s="1022"/>
    </row>
    <row r="60" spans="3:105" ht="17.100000000000001" customHeight="1">
      <c r="C60" s="982"/>
      <c r="D60" s="982"/>
      <c r="E60" s="982"/>
      <c r="F60" s="982"/>
      <c r="G60" s="982"/>
      <c r="H60" s="982"/>
      <c r="I60" s="982"/>
      <c r="J60" s="982"/>
      <c r="K60" s="982"/>
      <c r="L60" s="982"/>
      <c r="M60" s="982"/>
      <c r="N60" s="982"/>
      <c r="O60" s="982"/>
      <c r="P60" s="982"/>
      <c r="Q60" s="982"/>
      <c r="R60" s="982"/>
      <c r="S60" s="982"/>
      <c r="T60" s="982"/>
      <c r="U60" s="982"/>
      <c r="V60" s="982"/>
      <c r="W60" s="982"/>
      <c r="X60" s="982"/>
      <c r="Y60" s="982"/>
      <c r="Z60" s="982"/>
      <c r="AA60" s="982"/>
      <c r="AB60" s="982"/>
      <c r="AC60" s="982"/>
      <c r="AD60" s="982"/>
      <c r="AE60" s="982"/>
      <c r="AF60" s="982"/>
      <c r="AG60" s="982"/>
      <c r="AH60" s="982"/>
      <c r="AI60" s="982"/>
      <c r="AJ60" s="982"/>
      <c r="AK60" s="982"/>
      <c r="AL60" s="982"/>
      <c r="AM60" s="982"/>
      <c r="AN60" s="982"/>
      <c r="AO60" s="982"/>
      <c r="AP60" s="982"/>
      <c r="AQ60" s="982"/>
      <c r="AR60" s="982"/>
      <c r="AS60" s="982"/>
      <c r="AT60" s="982"/>
      <c r="AU60" s="982"/>
      <c r="AV60" s="982"/>
      <c r="AW60" s="982"/>
      <c r="AX60" s="982"/>
      <c r="AY60" s="1398"/>
      <c r="AZ60" s="1398"/>
      <c r="BA60" s="1398"/>
      <c r="BB60" s="1398"/>
      <c r="BC60" s="1398"/>
      <c r="BD60" s="1398"/>
      <c r="BE60" s="982"/>
      <c r="BF60" s="982"/>
      <c r="BG60" s="982"/>
      <c r="BH60" s="982"/>
      <c r="BI60" s="982"/>
      <c r="BJ60" s="982"/>
      <c r="BK60" s="982"/>
      <c r="BL60" s="982"/>
      <c r="BM60" s="982"/>
      <c r="BN60" s="982"/>
      <c r="BO60" s="982"/>
      <c r="BP60" s="982"/>
      <c r="BQ60" s="982"/>
      <c r="BR60" s="982"/>
      <c r="BS60" s="982"/>
      <c r="BT60" s="982"/>
      <c r="BU60" s="982"/>
      <c r="BV60" s="982"/>
      <c r="BW60" s="982"/>
      <c r="BX60" s="982"/>
      <c r="BY60" s="982"/>
      <c r="BZ60" s="982"/>
      <c r="CA60" s="982"/>
      <c r="CB60" s="982"/>
      <c r="CC60" s="982"/>
      <c r="CD60" s="982"/>
      <c r="CE60" s="982"/>
      <c r="CF60" s="982"/>
      <c r="CG60" s="982"/>
      <c r="CH60" s="982"/>
      <c r="CI60" s="982"/>
      <c r="CJ60" s="982"/>
      <c r="CK60" s="982"/>
      <c r="CL60" s="982"/>
      <c r="CM60" s="982"/>
      <c r="CN60" s="982"/>
      <c r="CO60" s="1401"/>
      <c r="CP60" s="1400"/>
      <c r="CQ60" s="1400"/>
      <c r="CR60" s="1400"/>
      <c r="CS60" s="1400"/>
      <c r="CT60" s="1400"/>
      <c r="CV60" s="1022"/>
      <c r="CW60" s="1022"/>
      <c r="CX60" s="1022"/>
      <c r="CY60" s="1022"/>
      <c r="CZ60" s="1022"/>
      <c r="DA60" s="1022"/>
    </row>
    <row r="61" spans="3:105" ht="17.100000000000001" customHeight="1">
      <c r="C61" s="982"/>
      <c r="D61" s="982"/>
      <c r="E61" s="982"/>
      <c r="F61" s="982"/>
      <c r="G61" s="982"/>
      <c r="H61" s="982"/>
      <c r="I61" s="982"/>
      <c r="J61" s="982"/>
      <c r="K61" s="982"/>
      <c r="L61" s="982"/>
      <c r="M61" s="982"/>
      <c r="N61" s="982"/>
      <c r="O61" s="982"/>
      <c r="P61" s="982"/>
      <c r="Q61" s="982"/>
      <c r="R61" s="982"/>
      <c r="S61" s="982"/>
      <c r="T61" s="982"/>
      <c r="U61" s="982"/>
      <c r="V61" s="982"/>
      <c r="W61" s="982"/>
      <c r="X61" s="982"/>
      <c r="Y61" s="982"/>
      <c r="Z61" s="982"/>
      <c r="AA61" s="982"/>
      <c r="AB61" s="982"/>
      <c r="AC61" s="982"/>
      <c r="AD61" s="982"/>
      <c r="AE61" s="982"/>
      <c r="AF61" s="982"/>
      <c r="AG61" s="982"/>
      <c r="AH61" s="982"/>
      <c r="AI61" s="982"/>
      <c r="AJ61" s="982"/>
      <c r="AK61" s="982"/>
      <c r="AL61" s="982"/>
      <c r="AM61" s="982"/>
      <c r="AN61" s="982"/>
      <c r="AO61" s="982"/>
      <c r="AP61" s="982"/>
      <c r="AQ61" s="982"/>
      <c r="AR61" s="982"/>
      <c r="AS61" s="982"/>
      <c r="AT61" s="982"/>
      <c r="AU61" s="982"/>
      <c r="AV61" s="982"/>
      <c r="AW61" s="982"/>
      <c r="AX61" s="982"/>
      <c r="AY61" s="1398"/>
      <c r="AZ61" s="1398"/>
      <c r="BA61" s="1398"/>
      <c r="BB61" s="1398"/>
      <c r="BC61" s="1398"/>
      <c r="BD61" s="1398"/>
      <c r="BE61" s="982"/>
      <c r="BF61" s="982"/>
      <c r="BG61" s="982"/>
      <c r="BH61" s="982"/>
      <c r="BI61" s="982"/>
      <c r="BJ61" s="982"/>
      <c r="BK61" s="982"/>
      <c r="BL61" s="982"/>
      <c r="BM61" s="982"/>
      <c r="BN61" s="982"/>
      <c r="BO61" s="982"/>
      <c r="BP61" s="982"/>
      <c r="BQ61" s="982"/>
      <c r="BR61" s="982"/>
      <c r="BS61" s="982"/>
      <c r="BT61" s="982"/>
      <c r="BU61" s="982"/>
      <c r="BV61" s="982"/>
      <c r="BW61" s="982"/>
      <c r="BX61" s="982"/>
      <c r="BY61" s="982"/>
      <c r="BZ61" s="982"/>
      <c r="CA61" s="982"/>
      <c r="CB61" s="982"/>
      <c r="CC61" s="982"/>
      <c r="CD61" s="982"/>
      <c r="CE61" s="982"/>
      <c r="CF61" s="982"/>
      <c r="CG61" s="982"/>
      <c r="CH61" s="982"/>
      <c r="CI61" s="982"/>
      <c r="CJ61" s="982"/>
      <c r="CK61" s="982"/>
      <c r="CL61" s="982"/>
      <c r="CM61" s="982"/>
      <c r="CN61" s="982"/>
      <c r="CO61" s="1401"/>
      <c r="CP61" s="1400"/>
      <c r="CQ61" s="1400"/>
      <c r="CR61" s="1400"/>
      <c r="CS61" s="1400"/>
      <c r="CT61" s="1400"/>
      <c r="CV61" s="1022"/>
      <c r="CW61" s="1022"/>
      <c r="CX61" s="1022"/>
      <c r="CY61" s="1022"/>
      <c r="CZ61" s="1022"/>
      <c r="DA61" s="1022"/>
    </row>
    <row r="62" spans="3:105" ht="17.100000000000001" customHeight="1">
      <c r="C62" s="982"/>
      <c r="D62" s="982"/>
      <c r="E62" s="982"/>
      <c r="F62" s="982"/>
      <c r="G62" s="982"/>
      <c r="H62" s="982"/>
      <c r="I62" s="982"/>
      <c r="J62" s="982"/>
      <c r="K62" s="982"/>
      <c r="L62" s="982"/>
      <c r="M62" s="982"/>
      <c r="N62" s="982"/>
      <c r="O62" s="982"/>
      <c r="P62" s="982"/>
      <c r="Q62" s="982"/>
      <c r="R62" s="982"/>
      <c r="S62" s="982"/>
      <c r="T62" s="982"/>
      <c r="U62" s="982"/>
      <c r="V62" s="982"/>
      <c r="W62" s="982"/>
      <c r="X62" s="982"/>
      <c r="Y62" s="982"/>
      <c r="Z62" s="982"/>
      <c r="AA62" s="982"/>
      <c r="AB62" s="982"/>
      <c r="AC62" s="982"/>
      <c r="AD62" s="982"/>
      <c r="AE62" s="982"/>
      <c r="AF62" s="982"/>
      <c r="AG62" s="982"/>
      <c r="AH62" s="982"/>
      <c r="AI62" s="982"/>
      <c r="AJ62" s="982"/>
      <c r="AK62" s="982"/>
      <c r="AL62" s="982"/>
      <c r="AM62" s="982"/>
      <c r="AN62" s="982"/>
      <c r="AO62" s="982"/>
      <c r="AP62" s="982"/>
      <c r="AQ62" s="982"/>
      <c r="AR62" s="982"/>
      <c r="AS62" s="982"/>
      <c r="AT62" s="982"/>
      <c r="AU62" s="982"/>
      <c r="AV62" s="982"/>
      <c r="AW62" s="982"/>
      <c r="AX62" s="982"/>
      <c r="AY62" s="1398"/>
      <c r="AZ62" s="1398"/>
      <c r="BA62" s="1398"/>
      <c r="BB62" s="1398"/>
      <c r="BC62" s="1398"/>
      <c r="BD62" s="1398"/>
      <c r="BE62" s="982"/>
      <c r="BF62" s="982"/>
      <c r="BG62" s="982"/>
      <c r="BH62" s="982"/>
      <c r="BI62" s="982"/>
      <c r="BJ62" s="982"/>
      <c r="BK62" s="982"/>
      <c r="BL62" s="982"/>
      <c r="BM62" s="982"/>
      <c r="BN62" s="982"/>
      <c r="BO62" s="982"/>
      <c r="BP62" s="982"/>
      <c r="BQ62" s="982"/>
      <c r="BR62" s="982"/>
      <c r="BS62" s="982"/>
      <c r="BT62" s="982"/>
      <c r="BU62" s="982"/>
      <c r="BV62" s="982"/>
      <c r="BW62" s="982"/>
      <c r="BX62" s="982"/>
      <c r="BY62" s="982"/>
      <c r="BZ62" s="982"/>
      <c r="CA62" s="982"/>
      <c r="CB62" s="982"/>
      <c r="CC62" s="982"/>
      <c r="CD62" s="982"/>
      <c r="CE62" s="982"/>
      <c r="CF62" s="982"/>
      <c r="CG62" s="982"/>
      <c r="CH62" s="982"/>
      <c r="CI62" s="982"/>
      <c r="CJ62" s="982"/>
      <c r="CK62" s="982"/>
      <c r="CL62" s="982"/>
      <c r="CM62" s="982"/>
      <c r="CN62" s="982"/>
      <c r="CO62" s="1401"/>
      <c r="CP62" s="1400"/>
      <c r="CQ62" s="1400"/>
      <c r="CR62" s="1400"/>
      <c r="CS62" s="1400"/>
      <c r="CT62" s="1400"/>
      <c r="CV62" s="1022"/>
      <c r="CW62" s="1022"/>
      <c r="CX62" s="1022"/>
      <c r="CY62" s="1022"/>
      <c r="CZ62" s="1022"/>
      <c r="DA62" s="1022"/>
    </row>
    <row r="63" spans="3:105" ht="17.100000000000001" customHeight="1">
      <c r="C63" s="982"/>
      <c r="D63" s="982"/>
      <c r="E63" s="982"/>
      <c r="F63" s="982"/>
      <c r="G63" s="982"/>
      <c r="H63" s="982"/>
      <c r="I63" s="982"/>
      <c r="J63" s="982"/>
      <c r="K63" s="982"/>
      <c r="L63" s="982"/>
      <c r="M63" s="982"/>
      <c r="N63" s="982"/>
      <c r="O63" s="982"/>
      <c r="P63" s="982"/>
      <c r="Q63" s="982"/>
      <c r="R63" s="982"/>
      <c r="S63" s="982"/>
      <c r="T63" s="982"/>
      <c r="U63" s="982"/>
      <c r="V63" s="982"/>
      <c r="W63" s="982"/>
      <c r="X63" s="982"/>
      <c r="Y63" s="982"/>
      <c r="Z63" s="982"/>
      <c r="AA63" s="982"/>
      <c r="AB63" s="982"/>
      <c r="AC63" s="982"/>
      <c r="AD63" s="982"/>
      <c r="AE63" s="982"/>
      <c r="AF63" s="982"/>
      <c r="AG63" s="982"/>
      <c r="AH63" s="982"/>
      <c r="AI63" s="982"/>
      <c r="AJ63" s="982"/>
      <c r="AK63" s="982"/>
      <c r="AL63" s="982"/>
      <c r="AM63" s="982"/>
      <c r="AN63" s="982"/>
      <c r="AO63" s="982"/>
      <c r="AP63" s="982"/>
      <c r="AQ63" s="982"/>
      <c r="AR63" s="982"/>
      <c r="AS63" s="982"/>
      <c r="AT63" s="982"/>
      <c r="AU63" s="982"/>
      <c r="AV63" s="982"/>
      <c r="AW63" s="982"/>
      <c r="AX63" s="982"/>
      <c r="AY63" s="1398"/>
      <c r="AZ63" s="1398"/>
      <c r="BA63" s="1398"/>
      <c r="BB63" s="1398"/>
      <c r="BC63" s="1398"/>
      <c r="BD63" s="1398"/>
      <c r="BE63" s="982"/>
      <c r="BF63" s="982"/>
      <c r="BG63" s="982"/>
      <c r="BH63" s="982"/>
      <c r="BI63" s="982"/>
      <c r="BJ63" s="982"/>
      <c r="BK63" s="982"/>
      <c r="BL63" s="982"/>
      <c r="BM63" s="982"/>
      <c r="BN63" s="982"/>
      <c r="BO63" s="982"/>
      <c r="BP63" s="982"/>
      <c r="BQ63" s="982"/>
      <c r="BR63" s="982"/>
      <c r="BS63" s="982"/>
      <c r="BT63" s="982"/>
      <c r="BU63" s="982"/>
      <c r="BV63" s="982"/>
      <c r="BW63" s="982"/>
      <c r="BX63" s="982"/>
      <c r="BY63" s="982"/>
      <c r="BZ63" s="982"/>
      <c r="CA63" s="982"/>
      <c r="CB63" s="982"/>
      <c r="CC63" s="982"/>
      <c r="CD63" s="982"/>
      <c r="CE63" s="982"/>
      <c r="CF63" s="982"/>
      <c r="CG63" s="982"/>
      <c r="CH63" s="982"/>
      <c r="CI63" s="982"/>
      <c r="CJ63" s="982"/>
      <c r="CK63" s="982"/>
      <c r="CL63" s="982"/>
      <c r="CM63" s="982"/>
      <c r="CN63" s="982"/>
      <c r="CO63" s="1401"/>
      <c r="CP63" s="1400"/>
      <c r="CQ63" s="1400"/>
      <c r="CR63" s="1400"/>
      <c r="CS63" s="1400"/>
      <c r="CT63" s="1400"/>
      <c r="CV63" s="1022"/>
      <c r="CW63" s="1022"/>
      <c r="CX63" s="1022"/>
      <c r="CY63" s="1022"/>
      <c r="CZ63" s="1022"/>
      <c r="DA63" s="1022"/>
    </row>
    <row r="64" spans="3:105" ht="17.100000000000001" customHeight="1">
      <c r="C64" s="982"/>
      <c r="D64" s="982"/>
      <c r="E64" s="982"/>
      <c r="F64" s="982"/>
      <c r="G64" s="982"/>
      <c r="H64" s="982"/>
      <c r="I64" s="982"/>
      <c r="J64" s="982"/>
      <c r="K64" s="982"/>
      <c r="L64" s="982"/>
      <c r="M64" s="982"/>
      <c r="N64" s="982"/>
      <c r="O64" s="982"/>
      <c r="P64" s="982"/>
      <c r="Q64" s="982"/>
      <c r="R64" s="982"/>
      <c r="S64" s="982"/>
      <c r="T64" s="982"/>
      <c r="U64" s="982"/>
      <c r="V64" s="982"/>
      <c r="W64" s="982"/>
      <c r="X64" s="982"/>
      <c r="Y64" s="982"/>
      <c r="Z64" s="982"/>
      <c r="AA64" s="982"/>
      <c r="AB64" s="982"/>
      <c r="AC64" s="982"/>
      <c r="AD64" s="982"/>
      <c r="AE64" s="982"/>
      <c r="AF64" s="982"/>
      <c r="AG64" s="982"/>
      <c r="AH64" s="982"/>
      <c r="AI64" s="982"/>
      <c r="AJ64" s="982"/>
      <c r="AK64" s="982"/>
      <c r="AL64" s="982"/>
      <c r="AM64" s="982"/>
      <c r="AN64" s="982"/>
      <c r="AO64" s="982"/>
      <c r="AP64" s="982"/>
      <c r="AQ64" s="982"/>
      <c r="AR64" s="982"/>
      <c r="AS64" s="982"/>
      <c r="AT64" s="982"/>
      <c r="AU64" s="982"/>
      <c r="AV64" s="982"/>
      <c r="AW64" s="982"/>
      <c r="AX64" s="982"/>
      <c r="AY64" s="1398"/>
      <c r="AZ64" s="1398"/>
      <c r="BA64" s="1398"/>
      <c r="BB64" s="1398"/>
      <c r="BC64" s="1398"/>
      <c r="BD64" s="1398"/>
      <c r="BE64" s="982"/>
      <c r="BF64" s="982"/>
      <c r="BG64" s="982"/>
      <c r="BH64" s="982"/>
      <c r="BI64" s="982"/>
      <c r="BJ64" s="982"/>
      <c r="BK64" s="982"/>
      <c r="BL64" s="982"/>
      <c r="BM64" s="982"/>
      <c r="BN64" s="982"/>
      <c r="BO64" s="982"/>
      <c r="BP64" s="982"/>
      <c r="BQ64" s="982"/>
      <c r="BR64" s="982"/>
      <c r="BS64" s="982"/>
      <c r="BT64" s="982"/>
      <c r="BU64" s="982"/>
      <c r="BV64" s="982"/>
      <c r="BW64" s="982"/>
      <c r="BX64" s="982"/>
      <c r="BY64" s="982"/>
      <c r="BZ64" s="982"/>
      <c r="CA64" s="982"/>
      <c r="CB64" s="982"/>
      <c r="CC64" s="982"/>
      <c r="CD64" s="982"/>
      <c r="CE64" s="982"/>
      <c r="CF64" s="982"/>
      <c r="CG64" s="982"/>
      <c r="CH64" s="982"/>
      <c r="CI64" s="982"/>
      <c r="CJ64" s="982"/>
      <c r="CK64" s="982"/>
      <c r="CL64" s="982"/>
      <c r="CM64" s="982"/>
      <c r="CN64" s="982"/>
      <c r="CO64" s="1401"/>
      <c r="CP64" s="1400"/>
      <c r="CQ64" s="1400"/>
      <c r="CR64" s="1400"/>
      <c r="CS64" s="1400"/>
      <c r="CT64" s="1400"/>
      <c r="CV64" s="1022"/>
      <c r="CW64" s="1022"/>
      <c r="CX64" s="1022"/>
      <c r="CY64" s="1022"/>
      <c r="CZ64" s="1022"/>
      <c r="DA64" s="1022"/>
    </row>
    <row r="65" spans="3:105" ht="17.100000000000001" customHeight="1">
      <c r="C65" s="982"/>
      <c r="D65" s="982"/>
      <c r="E65" s="982"/>
      <c r="F65" s="982"/>
      <c r="G65" s="982"/>
      <c r="H65" s="982"/>
      <c r="I65" s="982"/>
      <c r="J65" s="982"/>
      <c r="K65" s="982"/>
      <c r="L65" s="982"/>
      <c r="M65" s="982"/>
      <c r="N65" s="982"/>
      <c r="O65" s="982"/>
      <c r="P65" s="982"/>
      <c r="Q65" s="982"/>
      <c r="R65" s="982"/>
      <c r="S65" s="982"/>
      <c r="T65" s="982"/>
      <c r="U65" s="982"/>
      <c r="V65" s="982"/>
      <c r="W65" s="982"/>
      <c r="X65" s="982"/>
      <c r="Y65" s="982"/>
      <c r="Z65" s="982"/>
      <c r="AA65" s="982"/>
      <c r="AB65" s="982"/>
      <c r="AC65" s="982"/>
      <c r="AD65" s="982"/>
      <c r="AE65" s="982"/>
      <c r="AF65" s="982"/>
      <c r="AG65" s="982"/>
      <c r="AH65" s="982"/>
      <c r="AI65" s="982"/>
      <c r="AJ65" s="982"/>
      <c r="AK65" s="982"/>
      <c r="AL65" s="982"/>
      <c r="AM65" s="982"/>
      <c r="AN65" s="982"/>
      <c r="AO65" s="982"/>
      <c r="AP65" s="982"/>
      <c r="AQ65" s="982"/>
      <c r="AR65" s="982"/>
      <c r="AS65" s="982"/>
      <c r="AT65" s="982"/>
      <c r="AU65" s="982"/>
      <c r="AV65" s="982"/>
      <c r="AW65" s="982"/>
      <c r="AX65" s="982"/>
      <c r="AY65" s="1398"/>
      <c r="AZ65" s="1398"/>
      <c r="BA65" s="1398"/>
      <c r="BB65" s="1398"/>
      <c r="BC65" s="1398"/>
      <c r="BD65" s="1398"/>
      <c r="BE65" s="982"/>
      <c r="BF65" s="982"/>
      <c r="BG65" s="982"/>
      <c r="BH65" s="982"/>
      <c r="BI65" s="982"/>
      <c r="BJ65" s="982"/>
      <c r="BK65" s="982"/>
      <c r="BL65" s="982"/>
      <c r="BM65" s="982"/>
      <c r="BN65" s="982"/>
      <c r="BO65" s="982"/>
      <c r="BP65" s="982"/>
      <c r="BQ65" s="982"/>
      <c r="BR65" s="982"/>
      <c r="BS65" s="982"/>
      <c r="BT65" s="982"/>
      <c r="BU65" s="982"/>
      <c r="BV65" s="982"/>
      <c r="BW65" s="982"/>
      <c r="BX65" s="982"/>
      <c r="BY65" s="982"/>
      <c r="BZ65" s="982"/>
      <c r="CA65" s="982"/>
      <c r="CB65" s="982"/>
      <c r="CC65" s="982"/>
      <c r="CD65" s="982"/>
      <c r="CE65" s="982"/>
      <c r="CF65" s="982"/>
      <c r="CG65" s="982"/>
      <c r="CH65" s="982"/>
      <c r="CI65" s="982"/>
      <c r="CJ65" s="982"/>
      <c r="CK65" s="982"/>
      <c r="CL65" s="982"/>
      <c r="CM65" s="982"/>
      <c r="CN65" s="982"/>
      <c r="CO65" s="1401"/>
      <c r="CP65" s="1400"/>
      <c r="CQ65" s="1400"/>
      <c r="CR65" s="1400"/>
      <c r="CS65" s="1400"/>
      <c r="CT65" s="1400"/>
      <c r="CV65" s="1022"/>
      <c r="CW65" s="1022"/>
      <c r="CX65" s="1022"/>
      <c r="CY65" s="1022"/>
      <c r="CZ65" s="1022"/>
      <c r="DA65" s="1022"/>
    </row>
    <row r="66" spans="3:105" ht="17.100000000000001" customHeight="1">
      <c r="C66" s="982"/>
      <c r="D66" s="982"/>
      <c r="E66" s="982"/>
      <c r="F66" s="982"/>
      <c r="G66" s="982"/>
      <c r="H66" s="982"/>
      <c r="I66" s="982"/>
      <c r="J66" s="982"/>
      <c r="K66" s="982"/>
      <c r="L66" s="982"/>
      <c r="M66" s="982"/>
      <c r="N66" s="982"/>
      <c r="O66" s="982"/>
      <c r="P66" s="982"/>
      <c r="Q66" s="982"/>
      <c r="R66" s="982"/>
      <c r="S66" s="982"/>
      <c r="T66" s="982"/>
      <c r="U66" s="982"/>
      <c r="V66" s="982"/>
      <c r="W66" s="982"/>
      <c r="X66" s="982"/>
      <c r="Y66" s="982"/>
      <c r="Z66" s="982"/>
      <c r="AA66" s="982"/>
      <c r="AB66" s="982"/>
      <c r="AC66" s="982"/>
      <c r="AD66" s="982"/>
      <c r="AE66" s="982"/>
      <c r="AF66" s="982"/>
      <c r="AG66" s="982"/>
      <c r="AH66" s="982"/>
      <c r="AI66" s="982"/>
      <c r="AJ66" s="982"/>
      <c r="AK66" s="982"/>
      <c r="AL66" s="982"/>
      <c r="AM66" s="982"/>
      <c r="AN66" s="982"/>
      <c r="AO66" s="982"/>
      <c r="AP66" s="982"/>
      <c r="AQ66" s="982"/>
      <c r="AR66" s="982"/>
      <c r="AS66" s="982"/>
      <c r="AT66" s="982"/>
      <c r="AU66" s="982"/>
      <c r="AV66" s="982"/>
      <c r="AW66" s="982"/>
      <c r="AX66" s="982"/>
      <c r="AY66" s="1398"/>
      <c r="AZ66" s="1398"/>
      <c r="BA66" s="1398"/>
      <c r="BB66" s="1398"/>
      <c r="BC66" s="1398"/>
      <c r="BD66" s="1398"/>
      <c r="BE66" s="982"/>
      <c r="BF66" s="982"/>
      <c r="BG66" s="982"/>
      <c r="BH66" s="982"/>
      <c r="BI66" s="982"/>
      <c r="BJ66" s="982"/>
      <c r="BK66" s="982"/>
      <c r="BL66" s="982"/>
      <c r="BM66" s="982"/>
      <c r="BN66" s="982"/>
      <c r="BO66" s="982"/>
      <c r="BP66" s="982"/>
      <c r="BQ66" s="982"/>
      <c r="BR66" s="982"/>
      <c r="BS66" s="982"/>
      <c r="BT66" s="982"/>
      <c r="BU66" s="982"/>
      <c r="BV66" s="982"/>
      <c r="BW66" s="982"/>
      <c r="BX66" s="982"/>
      <c r="BY66" s="982"/>
      <c r="BZ66" s="982"/>
      <c r="CA66" s="982"/>
      <c r="CB66" s="982"/>
      <c r="CC66" s="982"/>
      <c r="CD66" s="982"/>
      <c r="CE66" s="982"/>
      <c r="CF66" s="982"/>
      <c r="CG66" s="982"/>
      <c r="CH66" s="982"/>
      <c r="CI66" s="982"/>
      <c r="CJ66" s="982"/>
      <c r="CK66" s="982"/>
      <c r="CL66" s="982"/>
      <c r="CM66" s="982"/>
      <c r="CN66" s="982"/>
      <c r="CO66" s="1401"/>
      <c r="CP66" s="1400"/>
      <c r="CQ66" s="1400"/>
      <c r="CR66" s="1400"/>
      <c r="CS66" s="1400"/>
      <c r="CT66" s="1400"/>
      <c r="CV66" s="1022"/>
      <c r="CW66" s="1022"/>
      <c r="CX66" s="1022"/>
      <c r="CY66" s="1022"/>
      <c r="CZ66" s="1022"/>
      <c r="DA66" s="1022"/>
    </row>
    <row r="67" spans="3:105" ht="17.100000000000001" customHeight="1">
      <c r="C67" s="982"/>
      <c r="D67" s="982"/>
      <c r="E67" s="982"/>
      <c r="F67" s="982"/>
      <c r="G67" s="982"/>
      <c r="H67" s="982"/>
      <c r="I67" s="982"/>
      <c r="J67" s="982"/>
      <c r="K67" s="982"/>
      <c r="L67" s="982"/>
      <c r="M67" s="982"/>
      <c r="N67" s="982"/>
      <c r="O67" s="982"/>
      <c r="P67" s="982"/>
      <c r="Q67" s="982"/>
      <c r="R67" s="982"/>
      <c r="S67" s="982"/>
      <c r="T67" s="982"/>
      <c r="U67" s="982"/>
      <c r="V67" s="982"/>
      <c r="W67" s="982"/>
      <c r="X67" s="982"/>
      <c r="Y67" s="982"/>
      <c r="Z67" s="982"/>
      <c r="AA67" s="982"/>
      <c r="AB67" s="982"/>
      <c r="AC67" s="982"/>
      <c r="AD67" s="982"/>
      <c r="AE67" s="982"/>
      <c r="AF67" s="982"/>
      <c r="AG67" s="982"/>
      <c r="AH67" s="982"/>
      <c r="AI67" s="982"/>
      <c r="AJ67" s="982"/>
      <c r="AK67" s="982"/>
      <c r="AL67" s="982"/>
      <c r="AM67" s="982"/>
      <c r="AN67" s="982"/>
      <c r="AO67" s="982"/>
      <c r="AP67" s="982"/>
      <c r="AQ67" s="982"/>
      <c r="AR67" s="982"/>
      <c r="AS67" s="982"/>
      <c r="AT67" s="982"/>
      <c r="AU67" s="982"/>
      <c r="AV67" s="982"/>
      <c r="AW67" s="982"/>
      <c r="AX67" s="982"/>
      <c r="AY67" s="1398"/>
      <c r="AZ67" s="1398"/>
      <c r="BA67" s="1398"/>
      <c r="BB67" s="1398"/>
      <c r="BC67" s="1398"/>
      <c r="BD67" s="1398"/>
      <c r="BE67" s="982"/>
      <c r="BF67" s="982"/>
      <c r="BG67" s="982"/>
      <c r="BH67" s="982"/>
      <c r="BI67" s="982"/>
      <c r="BJ67" s="982"/>
      <c r="BK67" s="982"/>
      <c r="BL67" s="982"/>
      <c r="BM67" s="982"/>
      <c r="BN67" s="982"/>
      <c r="BO67" s="982"/>
      <c r="BP67" s="982"/>
      <c r="BQ67" s="982"/>
      <c r="BR67" s="982"/>
      <c r="BS67" s="982"/>
      <c r="BT67" s="982"/>
      <c r="BU67" s="982"/>
      <c r="BV67" s="982"/>
      <c r="BW67" s="982"/>
      <c r="BX67" s="982"/>
      <c r="BY67" s="982"/>
      <c r="BZ67" s="982"/>
      <c r="CA67" s="982"/>
      <c r="CB67" s="982"/>
      <c r="CC67" s="982"/>
      <c r="CD67" s="982"/>
      <c r="CE67" s="982"/>
      <c r="CF67" s="982"/>
      <c r="CG67" s="982"/>
      <c r="CH67" s="982"/>
      <c r="CI67" s="982"/>
      <c r="CJ67" s="982"/>
      <c r="CK67" s="982"/>
      <c r="CL67" s="982"/>
      <c r="CM67" s="982"/>
      <c r="CN67" s="982"/>
      <c r="CO67" s="1401"/>
      <c r="CP67" s="1400"/>
      <c r="CQ67" s="1400"/>
      <c r="CR67" s="1400"/>
      <c r="CS67" s="1400"/>
      <c r="CT67" s="1400"/>
      <c r="CV67" s="1022"/>
      <c r="CW67" s="1022"/>
      <c r="CX67" s="1022"/>
      <c r="CY67" s="1022"/>
      <c r="CZ67" s="1022"/>
      <c r="DA67" s="1022"/>
    </row>
    <row r="68" spans="3:105" ht="17.100000000000001" customHeight="1">
      <c r="C68" s="982"/>
      <c r="D68" s="982"/>
      <c r="E68" s="982"/>
      <c r="F68" s="982"/>
      <c r="G68" s="982"/>
      <c r="H68" s="982"/>
      <c r="I68" s="982"/>
      <c r="J68" s="982"/>
      <c r="K68" s="982"/>
      <c r="L68" s="982"/>
      <c r="M68" s="982"/>
      <c r="N68" s="982"/>
      <c r="O68" s="982"/>
      <c r="P68" s="982"/>
      <c r="Q68" s="982"/>
      <c r="R68" s="982"/>
      <c r="S68" s="982"/>
      <c r="T68" s="982"/>
      <c r="U68" s="982"/>
      <c r="V68" s="982"/>
      <c r="W68" s="982"/>
      <c r="X68" s="982"/>
      <c r="Y68" s="982"/>
      <c r="Z68" s="982"/>
      <c r="AA68" s="982"/>
      <c r="AB68" s="982"/>
      <c r="AC68" s="982"/>
      <c r="AD68" s="982"/>
      <c r="AE68" s="982"/>
      <c r="AF68" s="982"/>
      <c r="AG68" s="982"/>
      <c r="AH68" s="982"/>
      <c r="AI68" s="982"/>
      <c r="AJ68" s="982"/>
      <c r="AK68" s="982"/>
      <c r="AL68" s="982"/>
      <c r="AM68" s="982"/>
      <c r="AN68" s="982"/>
      <c r="AO68" s="982"/>
      <c r="AP68" s="982"/>
      <c r="AQ68" s="982"/>
      <c r="AR68" s="982"/>
      <c r="AS68" s="982"/>
      <c r="AT68" s="982"/>
      <c r="AU68" s="982"/>
      <c r="AV68" s="982"/>
      <c r="AW68" s="982"/>
      <c r="AX68" s="982"/>
      <c r="AY68" s="1398"/>
      <c r="AZ68" s="1398"/>
      <c r="BA68" s="1398"/>
      <c r="BB68" s="1398"/>
      <c r="BC68" s="1398"/>
      <c r="BD68" s="1398"/>
      <c r="BE68" s="982"/>
      <c r="BF68" s="982"/>
      <c r="BG68" s="982"/>
      <c r="BH68" s="982"/>
      <c r="BI68" s="982"/>
      <c r="BJ68" s="982"/>
      <c r="BK68" s="982"/>
      <c r="BL68" s="982"/>
      <c r="BM68" s="982"/>
      <c r="BN68" s="982"/>
      <c r="BO68" s="982"/>
      <c r="BP68" s="982"/>
      <c r="BQ68" s="982"/>
      <c r="BR68" s="982"/>
      <c r="BS68" s="982"/>
      <c r="BT68" s="982"/>
      <c r="BU68" s="982"/>
      <c r="BV68" s="982"/>
      <c r="BW68" s="982"/>
      <c r="BX68" s="982"/>
      <c r="BY68" s="982"/>
      <c r="BZ68" s="982"/>
      <c r="CA68" s="982"/>
      <c r="CB68" s="982"/>
      <c r="CC68" s="982"/>
      <c r="CD68" s="982"/>
      <c r="CE68" s="982"/>
      <c r="CF68" s="982"/>
      <c r="CG68" s="982"/>
      <c r="CH68" s="982"/>
      <c r="CI68" s="982"/>
      <c r="CJ68" s="982"/>
      <c r="CK68" s="982"/>
      <c r="CL68" s="982"/>
      <c r="CM68" s="982"/>
      <c r="CN68" s="982"/>
      <c r="CO68" s="1401"/>
      <c r="CP68" s="1400"/>
      <c r="CQ68" s="1400"/>
      <c r="CR68" s="1400"/>
      <c r="CS68" s="1400"/>
      <c r="CT68" s="1400"/>
      <c r="CV68" s="1022"/>
      <c r="CW68" s="1022"/>
      <c r="CX68" s="1022"/>
      <c r="CY68" s="1022"/>
      <c r="CZ68" s="1022"/>
      <c r="DA68" s="1022"/>
    </row>
    <row r="69" spans="3:105" ht="17.100000000000001" customHeight="1">
      <c r="C69" s="982"/>
      <c r="D69" s="982"/>
      <c r="E69" s="982"/>
      <c r="F69" s="982"/>
      <c r="G69" s="982"/>
      <c r="H69" s="982"/>
      <c r="I69" s="982"/>
      <c r="J69" s="982"/>
      <c r="K69" s="982"/>
      <c r="L69" s="982"/>
      <c r="M69" s="982"/>
      <c r="N69" s="982"/>
      <c r="O69" s="982"/>
      <c r="P69" s="982"/>
      <c r="Q69" s="982"/>
      <c r="R69" s="982"/>
      <c r="S69" s="982"/>
      <c r="T69" s="982"/>
      <c r="U69" s="982"/>
      <c r="V69" s="982"/>
      <c r="W69" s="982"/>
      <c r="X69" s="982"/>
      <c r="Y69" s="982"/>
      <c r="Z69" s="982"/>
      <c r="AA69" s="982"/>
      <c r="AB69" s="982"/>
      <c r="AC69" s="982"/>
      <c r="AD69" s="982"/>
      <c r="AE69" s="982"/>
      <c r="AF69" s="982"/>
      <c r="AG69" s="982"/>
      <c r="AH69" s="982"/>
      <c r="AI69" s="982"/>
      <c r="AJ69" s="982"/>
      <c r="AK69" s="982"/>
      <c r="AL69" s="982"/>
      <c r="AM69" s="982"/>
      <c r="AN69" s="982"/>
      <c r="AO69" s="982"/>
      <c r="AP69" s="982"/>
      <c r="AQ69" s="982"/>
      <c r="AR69" s="982"/>
      <c r="AS69" s="982"/>
      <c r="AT69" s="982"/>
      <c r="AU69" s="982"/>
      <c r="AV69" s="982"/>
      <c r="AW69" s="982"/>
      <c r="AX69" s="982"/>
      <c r="AY69" s="1398"/>
      <c r="AZ69" s="1398"/>
      <c r="BA69" s="1398"/>
      <c r="BB69" s="1398"/>
      <c r="BC69" s="1398"/>
      <c r="BD69" s="1398"/>
      <c r="BE69" s="982"/>
      <c r="BF69" s="982"/>
      <c r="BG69" s="982"/>
      <c r="BH69" s="982"/>
      <c r="BI69" s="982"/>
      <c r="BJ69" s="982"/>
      <c r="BK69" s="982"/>
      <c r="BL69" s="982"/>
      <c r="BM69" s="982"/>
      <c r="BN69" s="982"/>
      <c r="BO69" s="982"/>
      <c r="BP69" s="982"/>
      <c r="BQ69" s="982"/>
      <c r="BR69" s="982"/>
      <c r="BS69" s="982"/>
      <c r="BT69" s="982"/>
      <c r="BU69" s="982"/>
      <c r="BV69" s="982"/>
      <c r="BW69" s="982"/>
      <c r="BX69" s="982"/>
      <c r="BY69" s="982"/>
      <c r="BZ69" s="982"/>
      <c r="CA69" s="982"/>
      <c r="CB69" s="982"/>
      <c r="CC69" s="982"/>
      <c r="CD69" s="982"/>
      <c r="CE69" s="982"/>
      <c r="CF69" s="982"/>
      <c r="CG69" s="982"/>
      <c r="CH69" s="982"/>
      <c r="CI69" s="982"/>
      <c r="CJ69" s="982"/>
      <c r="CK69" s="982"/>
      <c r="CL69" s="982"/>
      <c r="CM69" s="982"/>
      <c r="CN69" s="982"/>
      <c r="CO69" s="1401"/>
      <c r="CP69" s="1400"/>
      <c r="CQ69" s="1400"/>
      <c r="CR69" s="1400"/>
      <c r="CS69" s="1400"/>
      <c r="CT69" s="1400"/>
      <c r="CV69" s="1022"/>
      <c r="CW69" s="1022"/>
      <c r="CX69" s="1022"/>
      <c r="CY69" s="1022"/>
      <c r="CZ69" s="1022"/>
      <c r="DA69" s="1022"/>
    </row>
    <row r="70" spans="3:105" ht="17.100000000000001" customHeight="1">
      <c r="C70" s="982"/>
      <c r="D70" s="982"/>
      <c r="E70" s="982"/>
      <c r="F70" s="982"/>
      <c r="G70" s="982"/>
      <c r="H70" s="982"/>
      <c r="I70" s="982"/>
      <c r="J70" s="982"/>
      <c r="K70" s="982"/>
      <c r="L70" s="982"/>
      <c r="M70" s="982"/>
      <c r="N70" s="982"/>
      <c r="O70" s="982"/>
      <c r="P70" s="982"/>
      <c r="Q70" s="982"/>
      <c r="R70" s="982"/>
      <c r="S70" s="982"/>
      <c r="T70" s="982"/>
      <c r="U70" s="982"/>
      <c r="V70" s="982"/>
      <c r="W70" s="982"/>
      <c r="X70" s="982"/>
      <c r="Y70" s="982"/>
      <c r="Z70" s="982"/>
      <c r="AA70" s="982"/>
      <c r="AB70" s="982"/>
      <c r="AC70" s="982"/>
      <c r="AD70" s="982"/>
      <c r="AE70" s="982"/>
      <c r="AF70" s="982"/>
      <c r="AG70" s="982"/>
      <c r="AH70" s="982"/>
      <c r="AI70" s="982"/>
      <c r="AJ70" s="982"/>
      <c r="AK70" s="982"/>
      <c r="AL70" s="982"/>
      <c r="AM70" s="982"/>
      <c r="AN70" s="982"/>
      <c r="AO70" s="982"/>
      <c r="AP70" s="982"/>
      <c r="AQ70" s="982"/>
      <c r="AR70" s="982"/>
      <c r="AS70" s="982"/>
      <c r="AT70" s="982"/>
      <c r="AU70" s="982"/>
      <c r="AV70" s="982"/>
      <c r="AW70" s="982"/>
      <c r="AX70" s="982"/>
      <c r="AY70" s="1398"/>
      <c r="AZ70" s="1398"/>
      <c r="BA70" s="1398"/>
      <c r="BB70" s="1398"/>
      <c r="BC70" s="1398"/>
      <c r="BD70" s="1398"/>
      <c r="BE70" s="982"/>
      <c r="BF70" s="982"/>
      <c r="BG70" s="982"/>
      <c r="BH70" s="982"/>
      <c r="BI70" s="982"/>
      <c r="BJ70" s="982"/>
      <c r="BK70" s="982"/>
      <c r="BL70" s="982"/>
      <c r="BM70" s="982"/>
      <c r="BN70" s="982"/>
      <c r="BO70" s="982"/>
      <c r="BP70" s="982"/>
      <c r="BQ70" s="982"/>
      <c r="BR70" s="982"/>
      <c r="BS70" s="982"/>
      <c r="BT70" s="982"/>
      <c r="BU70" s="982"/>
      <c r="BV70" s="982"/>
      <c r="BW70" s="982"/>
      <c r="BX70" s="982"/>
      <c r="BY70" s="982"/>
      <c r="BZ70" s="982"/>
      <c r="CA70" s="982"/>
      <c r="CB70" s="982"/>
      <c r="CC70" s="982"/>
      <c r="CD70" s="982"/>
      <c r="CE70" s="982"/>
      <c r="CF70" s="982"/>
      <c r="CG70" s="982"/>
      <c r="CH70" s="982"/>
      <c r="CI70" s="982"/>
      <c r="CJ70" s="982"/>
      <c r="CK70" s="982"/>
      <c r="CL70" s="982"/>
      <c r="CM70" s="982"/>
      <c r="CN70" s="982"/>
      <c r="CO70" s="1401"/>
      <c r="CP70" s="1400"/>
      <c r="CQ70" s="1400"/>
      <c r="CR70" s="1400"/>
      <c r="CS70" s="1400"/>
      <c r="CT70" s="1400"/>
      <c r="CV70" s="1022"/>
      <c r="CW70" s="1022"/>
      <c r="CX70" s="1022"/>
      <c r="CY70" s="1022"/>
      <c r="CZ70" s="1022"/>
      <c r="DA70" s="1022"/>
    </row>
    <row r="71" spans="3:105" ht="17.100000000000001" customHeight="1">
      <c r="C71" s="982"/>
      <c r="D71" s="982"/>
      <c r="E71" s="982"/>
      <c r="F71" s="982"/>
      <c r="G71" s="982"/>
      <c r="H71" s="982"/>
      <c r="I71" s="982"/>
      <c r="J71" s="982"/>
      <c r="K71" s="982"/>
      <c r="L71" s="982"/>
      <c r="M71" s="982"/>
      <c r="N71" s="982"/>
      <c r="O71" s="982"/>
      <c r="P71" s="982"/>
      <c r="Q71" s="982"/>
      <c r="R71" s="982"/>
      <c r="S71" s="982"/>
      <c r="T71" s="982"/>
      <c r="U71" s="982"/>
      <c r="V71" s="982"/>
      <c r="W71" s="982"/>
      <c r="X71" s="982"/>
      <c r="Y71" s="982"/>
      <c r="Z71" s="982"/>
      <c r="AA71" s="982"/>
      <c r="AB71" s="982"/>
      <c r="AC71" s="982"/>
      <c r="AD71" s="982"/>
      <c r="AE71" s="982"/>
      <c r="AF71" s="982"/>
      <c r="AG71" s="982"/>
      <c r="AH71" s="982"/>
      <c r="AI71" s="982"/>
      <c r="AJ71" s="982"/>
      <c r="AK71" s="982"/>
      <c r="AL71" s="982"/>
      <c r="AM71" s="982"/>
      <c r="AN71" s="982"/>
      <c r="AO71" s="982"/>
      <c r="AP71" s="982"/>
      <c r="AQ71" s="982"/>
      <c r="AR71" s="982"/>
      <c r="AS71" s="982"/>
      <c r="AT71" s="982"/>
      <c r="AU71" s="982"/>
      <c r="AV71" s="982"/>
      <c r="AW71" s="982"/>
      <c r="AX71" s="982"/>
      <c r="AY71" s="1398"/>
      <c r="AZ71" s="1398"/>
      <c r="BA71" s="1398"/>
      <c r="BB71" s="1398"/>
      <c r="BC71" s="1398"/>
      <c r="BD71" s="1398"/>
      <c r="BE71" s="982"/>
      <c r="BF71" s="982"/>
      <c r="BG71" s="982"/>
      <c r="BH71" s="982"/>
      <c r="BI71" s="982"/>
      <c r="BJ71" s="982"/>
      <c r="BK71" s="982"/>
      <c r="BL71" s="982"/>
      <c r="BM71" s="982"/>
      <c r="BN71" s="982"/>
      <c r="BO71" s="982"/>
      <c r="BP71" s="982"/>
      <c r="BQ71" s="982"/>
      <c r="BR71" s="982"/>
      <c r="BS71" s="982"/>
      <c r="BT71" s="982"/>
      <c r="BU71" s="982"/>
      <c r="BV71" s="982"/>
      <c r="BW71" s="982"/>
      <c r="BX71" s="982"/>
      <c r="BY71" s="982"/>
      <c r="BZ71" s="982"/>
      <c r="CA71" s="982"/>
      <c r="CB71" s="982"/>
      <c r="CC71" s="982"/>
      <c r="CD71" s="982"/>
      <c r="CE71" s="982"/>
      <c r="CF71" s="982"/>
      <c r="CG71" s="982"/>
      <c r="CH71" s="982"/>
      <c r="CI71" s="982"/>
      <c r="CJ71" s="982"/>
      <c r="CK71" s="982"/>
      <c r="CL71" s="982"/>
      <c r="CM71" s="982"/>
      <c r="CN71" s="982"/>
      <c r="CO71" s="1401"/>
      <c r="CP71" s="1400"/>
      <c r="CQ71" s="1400"/>
      <c r="CR71" s="1400"/>
      <c r="CS71" s="1400"/>
      <c r="CT71" s="1400"/>
      <c r="CV71" s="1022"/>
      <c r="CW71" s="1022"/>
      <c r="CX71" s="1022"/>
      <c r="CY71" s="1022"/>
      <c r="CZ71" s="1022"/>
      <c r="DA71" s="1022"/>
    </row>
    <row r="72" spans="3:105" ht="17.100000000000001" customHeight="1">
      <c r="C72" s="982"/>
      <c r="D72" s="982"/>
      <c r="E72" s="982"/>
      <c r="F72" s="982"/>
      <c r="G72" s="982"/>
      <c r="H72" s="982"/>
      <c r="I72" s="982"/>
      <c r="J72" s="982"/>
      <c r="K72" s="982"/>
      <c r="L72" s="982"/>
      <c r="M72" s="982"/>
      <c r="N72" s="982"/>
      <c r="O72" s="982"/>
      <c r="P72" s="982"/>
      <c r="Q72" s="982"/>
      <c r="R72" s="982"/>
      <c r="S72" s="982"/>
      <c r="T72" s="982"/>
      <c r="U72" s="982"/>
      <c r="V72" s="982"/>
      <c r="W72" s="982"/>
      <c r="X72" s="982"/>
      <c r="Y72" s="982"/>
      <c r="Z72" s="982"/>
      <c r="AA72" s="982"/>
      <c r="AB72" s="982"/>
      <c r="AC72" s="982"/>
      <c r="AD72" s="982"/>
      <c r="AE72" s="982"/>
      <c r="AF72" s="982"/>
      <c r="AG72" s="982"/>
      <c r="AH72" s="982"/>
      <c r="AI72" s="982"/>
      <c r="AJ72" s="982"/>
      <c r="AK72" s="982"/>
      <c r="AL72" s="982"/>
      <c r="AM72" s="982"/>
      <c r="AN72" s="982"/>
      <c r="AO72" s="982"/>
      <c r="AP72" s="982"/>
      <c r="AQ72" s="982"/>
      <c r="AR72" s="982"/>
      <c r="AS72" s="982"/>
      <c r="AT72" s="982"/>
      <c r="AU72" s="982"/>
      <c r="AV72" s="982"/>
      <c r="AW72" s="982"/>
      <c r="AX72" s="982"/>
      <c r="AY72" s="1398"/>
      <c r="AZ72" s="1398"/>
      <c r="BA72" s="1398"/>
      <c r="BB72" s="1398"/>
      <c r="BC72" s="1398"/>
      <c r="BD72" s="1398"/>
      <c r="BE72" s="982"/>
      <c r="BF72" s="982"/>
      <c r="BG72" s="982"/>
      <c r="BH72" s="982"/>
      <c r="BI72" s="982"/>
      <c r="BJ72" s="982"/>
      <c r="BK72" s="982"/>
      <c r="BL72" s="982"/>
      <c r="BM72" s="982"/>
      <c r="BN72" s="982"/>
      <c r="BO72" s="982"/>
      <c r="BP72" s="982"/>
      <c r="BQ72" s="982"/>
      <c r="BR72" s="982"/>
      <c r="BS72" s="982"/>
      <c r="BT72" s="982"/>
      <c r="BU72" s="982"/>
      <c r="BV72" s="982"/>
      <c r="BW72" s="982"/>
      <c r="BX72" s="982"/>
      <c r="BY72" s="982"/>
      <c r="BZ72" s="982"/>
      <c r="CA72" s="982"/>
      <c r="CB72" s="982"/>
      <c r="CC72" s="982"/>
      <c r="CD72" s="982"/>
      <c r="CE72" s="982"/>
      <c r="CF72" s="982"/>
      <c r="CG72" s="982"/>
      <c r="CH72" s="982"/>
      <c r="CI72" s="982"/>
      <c r="CJ72" s="982"/>
      <c r="CK72" s="982"/>
      <c r="CL72" s="982"/>
      <c r="CM72" s="982"/>
      <c r="CN72" s="982"/>
      <c r="CO72" s="1401"/>
      <c r="CP72" s="1400"/>
      <c r="CQ72" s="1400"/>
      <c r="CR72" s="1400"/>
      <c r="CS72" s="1400"/>
      <c r="CT72" s="1400"/>
      <c r="CV72" s="1022"/>
      <c r="CW72" s="1022"/>
      <c r="CX72" s="1022"/>
      <c r="CY72" s="1022"/>
    </row>
    <row r="73" spans="3:105" ht="17.100000000000001" customHeight="1">
      <c r="CO73" s="1403"/>
    </row>
  </sheetData>
  <mergeCells count="9">
    <mergeCell ref="B37:C37"/>
    <mergeCell ref="B13:C13"/>
    <mergeCell ref="B7:C7"/>
    <mergeCell ref="B12:C12"/>
    <mergeCell ref="B4:F4"/>
    <mergeCell ref="B19:C19"/>
    <mergeCell ref="B30:C30"/>
    <mergeCell ref="B31:C31"/>
    <mergeCell ref="B34:C34"/>
  </mergeCells>
  <phoneticPr fontId="6" type="noConversion"/>
  <pageMargins left="0.70866141732283472" right="0.70866141732283472" top="0.74803149606299213" bottom="0.74803149606299213" header="0.31496062992125984" footer="0.31496062992125984"/>
  <pageSetup paperSize="9" scale="71" orientation="portrait" r:id="rId1"/>
  <colBreaks count="1" manualBreakCount="1">
    <brk id="23" max="1048575" man="1"/>
  </colBreaks>
  <legacy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CCCFF"/>
  </sheetPr>
  <dimension ref="A1:GM152"/>
  <sheetViews>
    <sheetView view="pageBreakPreview" zoomScale="70" zoomScaleNormal="70" zoomScaleSheetLayoutView="70" workbookViewId="0">
      <selection activeCell="B2" sqref="B2"/>
    </sheetView>
  </sheetViews>
  <sheetFormatPr defaultColWidth="9" defaultRowHeight="15" outlineLevelRow="1"/>
  <cols>
    <col min="1" max="1" width="2.625" style="1006" customWidth="1"/>
    <col min="2" max="2" width="15.5" style="1006" customWidth="1"/>
    <col min="3" max="3" width="19.625" style="1006" customWidth="1"/>
    <col min="4" max="6" width="14.625" style="1006" customWidth="1"/>
    <col min="7" max="7" width="12.375" style="1006" customWidth="1"/>
    <col min="8" max="8" width="14.625" style="1006" customWidth="1"/>
    <col min="9" max="14" width="9.125" style="1006" customWidth="1"/>
    <col min="15" max="15" width="10.75" style="1006" customWidth="1"/>
    <col min="16" max="16" width="10.625" style="1006" customWidth="1"/>
    <col min="17" max="17" width="1.875" style="1279" customWidth="1"/>
    <col min="18" max="18" width="9" style="1006" customWidth="1"/>
    <col min="19" max="19" width="15.25" style="1006" bestFit="1" customWidth="1"/>
    <col min="20" max="58" width="15.25" style="1006" customWidth="1"/>
    <col min="59" max="59" width="15.125" style="1006" customWidth="1"/>
    <col min="60" max="60" width="15.25" style="1006" customWidth="1"/>
    <col min="61" max="61" width="15.125" style="1006" customWidth="1"/>
    <col min="62" max="62" width="15.25" style="1006" customWidth="1"/>
    <col min="63" max="63" width="15.125" style="1006" customWidth="1"/>
    <col min="64" max="164" width="15.25" style="1006" customWidth="1"/>
    <col min="165" max="167" width="13.625" style="1006" customWidth="1"/>
    <col min="168" max="173" width="9" style="1006" customWidth="1"/>
    <col min="174" max="16384" width="9" style="1006"/>
  </cols>
  <sheetData>
    <row r="1" spans="1:154">
      <c r="A1" s="1279"/>
      <c r="B1" s="1279"/>
      <c r="C1" s="1279"/>
      <c r="D1" s="1279"/>
      <c r="E1" s="1279"/>
      <c r="F1" s="1279"/>
      <c r="G1" s="1279"/>
      <c r="H1" s="1279"/>
      <c r="I1" s="1279"/>
      <c r="J1" s="1279"/>
      <c r="K1" s="1279"/>
      <c r="L1" s="1279"/>
      <c r="M1" s="1279"/>
      <c r="N1" s="1279"/>
      <c r="O1" s="1279"/>
      <c r="P1" s="1279"/>
    </row>
    <row r="2" spans="1:154" s="2328" customFormat="1" ht="24.6" customHeight="1">
      <c r="B2" s="2329" t="s">
        <v>1094</v>
      </c>
      <c r="C2" s="2330"/>
      <c r="D2" s="2330"/>
      <c r="E2" s="2330"/>
      <c r="F2" s="2330"/>
      <c r="G2" s="2330"/>
      <c r="H2" s="2330"/>
      <c r="I2" s="2331"/>
      <c r="J2" s="2330"/>
      <c r="K2" s="2330"/>
      <c r="L2" s="2330"/>
      <c r="M2" s="2330"/>
      <c r="N2" s="2330"/>
      <c r="O2" s="2330"/>
    </row>
    <row r="3" spans="1:154" ht="20.100000000000001" customHeight="1">
      <c r="A3" s="1404"/>
      <c r="B3" s="1405"/>
      <c r="C3" s="1406"/>
      <c r="D3" s="1407"/>
      <c r="E3" s="1406"/>
      <c r="F3" s="1406"/>
      <c r="G3" s="1406"/>
      <c r="H3" s="1406"/>
      <c r="I3" s="1406"/>
      <c r="J3" s="1406"/>
      <c r="K3" s="1406"/>
      <c r="L3" s="1406"/>
      <c r="M3" s="1406"/>
      <c r="N3" s="1406"/>
      <c r="O3" s="1408"/>
      <c r="P3" s="1409" t="s">
        <v>2133</v>
      </c>
      <c r="R3" s="1006" t="s">
        <v>856</v>
      </c>
    </row>
    <row r="4" spans="1:154" ht="12.75" customHeight="1">
      <c r="A4" s="1410"/>
      <c r="B4" s="1410"/>
      <c r="C4" s="1410"/>
      <c r="D4" s="1410"/>
      <c r="E4" s="1410"/>
      <c r="F4" s="1410"/>
      <c r="G4" s="1410"/>
      <c r="H4" s="1410"/>
      <c r="I4" s="1410"/>
      <c r="J4" s="1410"/>
      <c r="K4" s="1410"/>
      <c r="L4" s="1410"/>
      <c r="M4" s="1410"/>
      <c r="N4" s="1410"/>
      <c r="O4" s="1410"/>
      <c r="P4" s="1279"/>
      <c r="T4" s="1006" t="s">
        <v>857</v>
      </c>
    </row>
    <row r="5" spans="1:154" ht="22.15" customHeight="1">
      <c r="A5" s="1411" t="s">
        <v>1097</v>
      </c>
      <c r="B5" s="2283"/>
      <c r="C5" s="2283"/>
      <c r="D5" s="2283"/>
      <c r="E5" s="2283"/>
      <c r="F5" s="2283"/>
      <c r="G5" s="2283"/>
      <c r="H5" s="2283"/>
      <c r="I5" s="2283"/>
      <c r="J5" s="2283"/>
      <c r="K5" s="2283"/>
      <c r="L5" s="2283"/>
      <c r="M5" s="2283"/>
      <c r="N5" s="2283"/>
      <c r="O5" s="2283"/>
      <c r="P5" s="2068"/>
      <c r="Q5" s="2068"/>
      <c r="R5" s="2068" t="s">
        <v>858</v>
      </c>
    </row>
    <row r="6" spans="1:154" ht="12.75" customHeight="1">
      <c r="A6" s="1411"/>
      <c r="B6" s="1412"/>
      <c r="C6" s="1412"/>
      <c r="D6" s="1412"/>
      <c r="E6" s="1412"/>
      <c r="F6" s="1412"/>
      <c r="G6" s="1412"/>
      <c r="H6" s="1412"/>
      <c r="I6" s="1412"/>
      <c r="J6" s="1412"/>
      <c r="K6" s="1412"/>
      <c r="L6" s="1412"/>
      <c r="M6" s="1412"/>
      <c r="N6" s="1412"/>
      <c r="O6" s="1412"/>
      <c r="P6" s="1279"/>
      <c r="U6" s="1413" t="s">
        <v>859</v>
      </c>
      <c r="V6" s="1413" t="s">
        <v>860</v>
      </c>
      <c r="W6" s="1413"/>
      <c r="Y6" s="1413"/>
      <c r="AA6" s="1413"/>
      <c r="AB6" s="1413"/>
      <c r="AC6" s="1413"/>
      <c r="AD6" s="1413"/>
      <c r="AE6" s="1413"/>
      <c r="AF6" s="1413"/>
      <c r="AG6" s="1413"/>
      <c r="AH6" s="1413"/>
      <c r="AI6" s="1413"/>
      <c r="AJ6" s="1413"/>
      <c r="AK6" s="1413"/>
      <c r="AL6" s="1413"/>
      <c r="AM6" s="1413"/>
      <c r="AN6" s="1413"/>
      <c r="AO6" s="1413"/>
      <c r="AP6" s="1413"/>
      <c r="AQ6" s="1413"/>
      <c r="AR6" s="1413"/>
      <c r="AS6" s="1413"/>
      <c r="AT6" s="1413"/>
      <c r="AU6" s="1413"/>
      <c r="AV6" s="1413"/>
      <c r="AW6" s="1413"/>
      <c r="AX6" s="1413"/>
      <c r="AY6" s="1413"/>
      <c r="AZ6" s="1413"/>
      <c r="BA6" s="1413"/>
      <c r="BB6" s="1413"/>
      <c r="BC6" s="1413"/>
      <c r="BD6" s="1413"/>
      <c r="BE6" s="1413"/>
      <c r="BF6" s="1413"/>
      <c r="BG6" s="1413"/>
      <c r="BH6" s="1413"/>
      <c r="BI6" s="1413"/>
      <c r="BJ6" s="1413"/>
      <c r="BK6" s="1413"/>
      <c r="BL6" s="1413"/>
      <c r="BM6" s="1413" t="s">
        <v>859</v>
      </c>
      <c r="BN6" s="1413" t="s">
        <v>860</v>
      </c>
    </row>
    <row r="7" spans="1:154" ht="12.75" customHeight="1">
      <c r="A7" s="1410"/>
      <c r="B7" s="1410"/>
      <c r="C7" s="1410"/>
      <c r="D7" s="1410"/>
      <c r="E7" s="1410"/>
      <c r="F7" s="1410"/>
      <c r="G7" s="1410"/>
      <c r="H7" s="1410"/>
      <c r="I7" s="1410"/>
      <c r="J7" s="1410"/>
      <c r="K7" s="1410"/>
      <c r="L7" s="1410"/>
      <c r="M7" s="1410"/>
      <c r="N7" s="1410"/>
      <c r="O7" s="1414"/>
      <c r="P7" s="1279"/>
      <c r="T7" s="1413" t="s">
        <v>861</v>
      </c>
      <c r="U7" s="1006">
        <v>757.59</v>
      </c>
      <c r="V7" s="1323">
        <v>99.550000000000011</v>
      </c>
      <c r="AA7" s="1323"/>
      <c r="AB7" s="1323"/>
      <c r="AC7" s="1323"/>
      <c r="AD7" s="1323"/>
      <c r="AE7" s="1323"/>
      <c r="AF7" s="1323"/>
      <c r="AG7" s="1323"/>
      <c r="AH7" s="1323"/>
      <c r="AI7" s="1323"/>
      <c r="AJ7" s="1323"/>
      <c r="AK7" s="1323"/>
      <c r="AL7" s="1323"/>
      <c r="AM7" s="1323"/>
      <c r="AN7" s="1323"/>
      <c r="AO7" s="1323"/>
      <c r="AP7" s="1415"/>
      <c r="AQ7" s="1323"/>
      <c r="AR7" s="1323"/>
      <c r="AS7" s="1323"/>
      <c r="AT7" s="1323"/>
      <c r="AU7" s="1323"/>
      <c r="AV7" s="1323"/>
      <c r="AW7" s="1323"/>
      <c r="AX7" s="1323"/>
      <c r="AY7" s="1323"/>
      <c r="AZ7" s="1323"/>
      <c r="BA7" s="1323"/>
      <c r="BB7" s="1323"/>
      <c r="BC7" s="1323"/>
      <c r="BD7" s="1323"/>
      <c r="BE7" s="1323"/>
      <c r="BF7" s="1323"/>
      <c r="BG7" s="1323"/>
      <c r="BH7" s="1323"/>
      <c r="BI7" s="1323"/>
      <c r="BJ7" s="1323"/>
      <c r="BK7" s="1323"/>
      <c r="BL7" s="1323"/>
      <c r="BM7" s="1006">
        <v>723.63</v>
      </c>
      <c r="BN7" s="1006">
        <v>723.63</v>
      </c>
    </row>
    <row r="8" spans="1:154" ht="22.9" customHeight="1">
      <c r="A8" s="1416"/>
      <c r="B8" s="2807" t="s">
        <v>862</v>
      </c>
      <c r="C8" s="2808" t="s">
        <v>876</v>
      </c>
      <c r="D8" s="2808"/>
      <c r="E8" s="2808" t="s">
        <v>863</v>
      </c>
      <c r="F8" s="2808"/>
      <c r="G8" s="1416"/>
      <c r="H8" s="1416"/>
      <c r="I8" s="1416"/>
      <c r="J8" s="1416"/>
      <c r="K8" s="1416"/>
      <c r="L8" s="1416"/>
      <c r="M8" s="1416"/>
      <c r="N8" s="1416"/>
      <c r="O8" s="1416"/>
      <c r="P8" s="1279"/>
      <c r="T8" s="1006" t="s">
        <v>864</v>
      </c>
      <c r="U8" s="1006">
        <v>27882.22</v>
      </c>
      <c r="V8" s="1417">
        <v>27882.223124999993</v>
      </c>
      <c r="BM8" s="1006">
        <v>27882.22</v>
      </c>
      <c r="BN8" s="1006">
        <v>27882.22</v>
      </c>
    </row>
    <row r="9" spans="1:154" ht="22.9" customHeight="1">
      <c r="A9" s="1416"/>
      <c r="B9" s="2807"/>
      <c r="C9" s="2263" t="s">
        <v>865</v>
      </c>
      <c r="D9" s="2263" t="s">
        <v>866</v>
      </c>
      <c r="E9" s="2263" t="s">
        <v>867</v>
      </c>
      <c r="F9" s="2263" t="s">
        <v>868</v>
      </c>
      <c r="G9" s="1416"/>
      <c r="H9" s="1416"/>
      <c r="I9" s="1416"/>
      <c r="J9" s="1416"/>
      <c r="K9" s="1416"/>
      <c r="L9" s="1416"/>
      <c r="M9" s="1416"/>
      <c r="N9" s="1416"/>
      <c r="O9" s="1416"/>
      <c r="P9" s="1279"/>
      <c r="R9" s="1418"/>
      <c r="S9" s="1418"/>
      <c r="T9" s="1419" t="s">
        <v>869</v>
      </c>
      <c r="U9" s="1420">
        <f>U8-U7</f>
        <v>27124.63</v>
      </c>
      <c r="V9" s="1420">
        <v>27782.663124999995</v>
      </c>
      <c r="W9" s="1420"/>
      <c r="Y9" s="1420"/>
      <c r="AA9" s="1420"/>
      <c r="AB9" s="1420"/>
      <c r="AC9" s="1420"/>
      <c r="AD9" s="1420"/>
      <c r="AE9" s="1420"/>
      <c r="AF9" s="1420"/>
      <c r="AG9" s="1420"/>
      <c r="AH9" s="1420"/>
      <c r="AI9" s="1420"/>
      <c r="AJ9" s="1420"/>
      <c r="AK9" s="1420"/>
      <c r="AL9" s="1420"/>
      <c r="AM9" s="1420"/>
      <c r="AN9" s="1420"/>
      <c r="AO9" s="1420"/>
      <c r="AP9" s="1420"/>
      <c r="AQ9" s="1420"/>
      <c r="AR9" s="1420"/>
      <c r="AS9" s="1420"/>
      <c r="AT9" s="1420"/>
      <c r="AU9" s="1420"/>
      <c r="AV9" s="1420"/>
      <c r="AW9" s="1420"/>
      <c r="AX9" s="1420"/>
      <c r="AY9" s="1420"/>
      <c r="AZ9" s="1420"/>
      <c r="BA9" s="1420"/>
      <c r="BB9" s="1420"/>
      <c r="BC9" s="1420"/>
      <c r="BD9" s="1420"/>
      <c r="BE9" s="1420"/>
      <c r="BF9" s="1420"/>
      <c r="BG9" s="1420"/>
      <c r="BH9" s="1420"/>
      <c r="BI9" s="1420"/>
      <c r="BJ9" s="1420"/>
      <c r="BK9" s="1420"/>
      <c r="BL9" s="1420"/>
      <c r="BM9" s="1420">
        <f>BM8-BM7</f>
        <v>27158.59</v>
      </c>
      <c r="BN9" s="1420">
        <f>BN8-BN7</f>
        <v>27158.59</v>
      </c>
      <c r="BQ9" s="1418"/>
      <c r="BR9" s="1418"/>
      <c r="BS9" s="1418"/>
      <c r="BT9" s="1418"/>
      <c r="BU9" s="1418"/>
      <c r="BV9" s="1418"/>
      <c r="BW9" s="1418"/>
      <c r="BX9" s="1418"/>
      <c r="BY9" s="1418"/>
      <c r="BZ9" s="1418"/>
      <c r="CA9" s="1418"/>
      <c r="CB9" s="1418"/>
      <c r="CC9" s="1418"/>
      <c r="CD9" s="1418"/>
      <c r="CE9" s="1418"/>
      <c r="CF9" s="1418"/>
      <c r="CG9" s="1418"/>
      <c r="CH9" s="1418"/>
      <c r="CI9" s="1418"/>
      <c r="CJ9" s="1418"/>
      <c r="CK9" s="1418"/>
      <c r="CL9" s="1418"/>
      <c r="CM9" s="1418"/>
      <c r="CN9" s="1418"/>
      <c r="CO9" s="1418"/>
      <c r="CP9" s="1418"/>
      <c r="CQ9" s="1418"/>
      <c r="CR9" s="1418"/>
      <c r="CS9" s="1418"/>
      <c r="CT9" s="1418"/>
      <c r="CU9" s="1418"/>
      <c r="CV9" s="1418"/>
      <c r="CW9" s="1418"/>
      <c r="CX9" s="1418"/>
      <c r="CY9" s="1418"/>
      <c r="CZ9" s="1418"/>
      <c r="DA9" s="1418"/>
      <c r="DB9" s="1418"/>
      <c r="DC9" s="1418"/>
      <c r="DD9" s="1418"/>
      <c r="DE9" s="1418"/>
      <c r="DF9" s="1418"/>
      <c r="DG9" s="1418"/>
      <c r="DH9" s="1418"/>
      <c r="DI9" s="1418"/>
      <c r="DJ9" s="1418"/>
      <c r="DK9" s="1418"/>
      <c r="DL9" s="1418"/>
      <c r="DM9" s="1418"/>
      <c r="DN9" s="1418"/>
      <c r="DO9" s="1418"/>
      <c r="DP9" s="1418"/>
      <c r="DQ9" s="1418"/>
      <c r="DR9" s="1418"/>
      <c r="DS9" s="1418"/>
      <c r="DT9" s="1418"/>
      <c r="DU9" s="1418"/>
      <c r="DV9" s="1418"/>
      <c r="DW9" s="1418"/>
      <c r="DX9" s="1418"/>
      <c r="DY9" s="1418"/>
      <c r="DZ9" s="1418"/>
      <c r="EA9" s="1418"/>
      <c r="EB9" s="1418"/>
      <c r="EC9" s="1418"/>
      <c r="ED9" s="1418"/>
      <c r="EE9" s="1418"/>
      <c r="EF9" s="1418"/>
      <c r="EG9" s="1418"/>
      <c r="EH9" s="1418"/>
      <c r="EI9" s="1418"/>
      <c r="EJ9" s="1418"/>
      <c r="EK9" s="1418"/>
      <c r="EL9" s="1418"/>
      <c r="EM9" s="1418"/>
      <c r="EN9" s="1418"/>
      <c r="EO9" s="1418"/>
      <c r="EP9" s="1418"/>
      <c r="EQ9" s="1418"/>
      <c r="ER9" s="1418"/>
      <c r="ES9" s="1418"/>
      <c r="ET9" s="1418"/>
      <c r="EU9" s="1418"/>
      <c r="EV9" s="1418"/>
      <c r="EW9" s="1418"/>
      <c r="EX9" s="1418"/>
    </row>
    <row r="10" spans="1:154" ht="22.9" customHeight="1">
      <c r="A10" s="1416"/>
      <c r="B10" s="2264" t="s">
        <v>1089</v>
      </c>
      <c r="C10" s="2265">
        <f>U9</f>
        <v>27124.63</v>
      </c>
      <c r="D10" s="2266">
        <f>C10/C12</f>
        <v>0.97282892108304142</v>
      </c>
      <c r="E10" s="2267">
        <f>V8</f>
        <v>27882.223124999993</v>
      </c>
      <c r="F10" s="2268">
        <f>V10</f>
        <v>0.99642926607560467</v>
      </c>
      <c r="G10" s="1416"/>
      <c r="H10" s="1416"/>
      <c r="I10" s="1416"/>
      <c r="J10" s="1416"/>
      <c r="K10" s="1416"/>
      <c r="L10" s="1416"/>
      <c r="M10" s="1416"/>
      <c r="N10" s="1416"/>
      <c r="O10" s="1416"/>
      <c r="P10" s="1279"/>
      <c r="R10" s="1418"/>
      <c r="S10" s="1418"/>
      <c r="T10" s="1419" t="s">
        <v>870</v>
      </c>
      <c r="U10" s="1418">
        <f t="shared" ref="U10" si="0">U9/U8</f>
        <v>0.97282892108304142</v>
      </c>
      <c r="V10" s="1418">
        <f>V9/V8</f>
        <v>0.99642926607560467</v>
      </c>
      <c r="W10" s="1418"/>
      <c r="Y10" s="1418"/>
      <c r="AA10" s="1418"/>
      <c r="AB10" s="1418"/>
      <c r="AC10" s="1418"/>
      <c r="AD10" s="1418"/>
      <c r="AE10" s="1418"/>
      <c r="AF10" s="1418"/>
      <c r="AG10" s="1418"/>
      <c r="AH10" s="1418"/>
      <c r="AI10" s="1418"/>
      <c r="AJ10" s="1418"/>
      <c r="AK10" s="1418"/>
      <c r="AL10" s="1418"/>
      <c r="AM10" s="1418"/>
      <c r="AN10" s="1418"/>
      <c r="AO10" s="1418"/>
      <c r="AP10" s="1418"/>
      <c r="AQ10" s="1418"/>
      <c r="AR10" s="1418"/>
      <c r="AS10" s="1418"/>
      <c r="AT10" s="1418"/>
      <c r="AU10" s="1418"/>
      <c r="AV10" s="1421"/>
      <c r="AW10" s="1418"/>
      <c r="AX10" s="1418"/>
      <c r="AY10" s="1418"/>
      <c r="AZ10" s="1418"/>
      <c r="BA10" s="1418"/>
      <c r="BB10" s="1418"/>
      <c r="BC10" s="1418"/>
      <c r="BD10" s="1418"/>
      <c r="BE10" s="1418"/>
      <c r="BF10" s="1418"/>
      <c r="BG10" s="1418"/>
      <c r="BH10" s="1418"/>
      <c r="BI10" s="1418"/>
      <c r="BJ10" s="1418"/>
      <c r="BK10" s="1418"/>
      <c r="BL10" s="1418"/>
      <c r="BM10" s="1418">
        <f>BM9/BM8</f>
        <v>0.97404690157383444</v>
      </c>
      <c r="BN10" s="1418">
        <f>BN9/BN8</f>
        <v>0.97404690157383444</v>
      </c>
      <c r="BQ10" s="1418"/>
      <c r="BR10" s="1418"/>
      <c r="BS10" s="1418"/>
      <c r="BT10" s="1418"/>
      <c r="BU10" s="1418"/>
      <c r="BV10" s="1418"/>
      <c r="BW10" s="1418"/>
      <c r="BX10" s="1418"/>
      <c r="BY10" s="1418"/>
      <c r="BZ10" s="1418"/>
      <c r="CA10" s="1418"/>
      <c r="CB10" s="1418"/>
      <c r="CC10" s="1418"/>
      <c r="CD10" s="1418"/>
      <c r="CE10" s="1418"/>
      <c r="CF10" s="1418"/>
      <c r="CG10" s="1418"/>
      <c r="CH10" s="1418"/>
      <c r="CI10" s="1418"/>
      <c r="CJ10" s="1418"/>
      <c r="CK10" s="1418"/>
      <c r="CL10" s="1418"/>
      <c r="CM10" s="1418"/>
      <c r="CN10" s="1418"/>
      <c r="CO10" s="1418"/>
      <c r="CP10" s="1418"/>
      <c r="CQ10" s="1418"/>
      <c r="CR10" s="1418"/>
      <c r="CS10" s="1418"/>
      <c r="CT10" s="1418"/>
      <c r="CU10" s="1418"/>
      <c r="CV10" s="1418"/>
      <c r="CW10" s="1418"/>
      <c r="CX10" s="1418"/>
      <c r="CY10" s="1418"/>
      <c r="CZ10" s="1418"/>
      <c r="DA10" s="1418"/>
      <c r="DB10" s="1418"/>
      <c r="DC10" s="1418"/>
      <c r="DD10" s="1418"/>
      <c r="DE10" s="1418"/>
      <c r="DF10" s="1418"/>
      <c r="DG10" s="1418"/>
      <c r="DH10" s="1418"/>
      <c r="DI10" s="1418"/>
      <c r="DJ10" s="1418"/>
      <c r="DK10" s="1418"/>
      <c r="DL10" s="1418"/>
      <c r="DM10" s="1418"/>
      <c r="DN10" s="1418"/>
      <c r="DO10" s="1418"/>
      <c r="DP10" s="1418"/>
      <c r="DQ10" s="1418"/>
      <c r="DR10" s="1418"/>
      <c r="DS10" s="1418"/>
      <c r="DT10" s="1418"/>
      <c r="DU10" s="1418"/>
      <c r="DV10" s="1418"/>
      <c r="DW10" s="1418"/>
      <c r="DX10" s="1418"/>
      <c r="DY10" s="1418"/>
      <c r="DZ10" s="1418"/>
      <c r="EA10" s="1418"/>
      <c r="EB10" s="1418"/>
      <c r="EC10" s="1418"/>
      <c r="ED10" s="1418"/>
      <c r="EE10" s="1418"/>
      <c r="EF10" s="1418"/>
      <c r="EG10" s="1418"/>
      <c r="EH10" s="1418"/>
      <c r="EI10" s="1418"/>
      <c r="EJ10" s="1418"/>
      <c r="EK10" s="1418"/>
      <c r="EL10" s="1418"/>
      <c r="EM10" s="1418"/>
      <c r="EN10" s="1418"/>
      <c r="EO10" s="1418"/>
      <c r="EP10" s="1418"/>
      <c r="EQ10" s="1418"/>
      <c r="ER10" s="1418"/>
      <c r="ES10" s="1418"/>
      <c r="ET10" s="1418"/>
      <c r="EU10" s="1418"/>
      <c r="EV10" s="1418"/>
      <c r="EW10" s="1418"/>
      <c r="EX10" s="1418"/>
    </row>
    <row r="11" spans="1:154" ht="22.9" customHeight="1">
      <c r="A11" s="1416"/>
      <c r="B11" s="2264" t="s">
        <v>871</v>
      </c>
      <c r="C11" s="2267">
        <f>U7</f>
        <v>757.59</v>
      </c>
      <c r="D11" s="2266">
        <f>C11/C12</f>
        <v>2.7171078916958549E-2</v>
      </c>
      <c r="E11" s="2267">
        <f>V7</f>
        <v>99.550000000000011</v>
      </c>
      <c r="F11" s="2268">
        <f>V11</f>
        <v>3.5703752729365633E-3</v>
      </c>
      <c r="G11" s="1416"/>
      <c r="H11" s="1416"/>
      <c r="I11" s="1416"/>
      <c r="J11" s="1416"/>
      <c r="K11" s="1416"/>
      <c r="L11" s="1416"/>
      <c r="M11" s="1416"/>
      <c r="N11" s="1416"/>
      <c r="O11" s="1416"/>
      <c r="P11" s="1279"/>
      <c r="T11" s="1413" t="s">
        <v>872</v>
      </c>
      <c r="U11" s="1312">
        <f t="shared" ref="U11" si="1">U7/U8</f>
        <v>2.7171078916958549E-2</v>
      </c>
      <c r="V11" s="1312">
        <f>V7/V8</f>
        <v>3.5703752729365633E-3</v>
      </c>
      <c r="W11" s="1312"/>
      <c r="Y11" s="1312"/>
      <c r="AA11" s="1312"/>
      <c r="AB11" s="1312"/>
      <c r="AC11" s="1312"/>
      <c r="AD11" s="1312"/>
      <c r="AE11" s="1312"/>
      <c r="AF11" s="1312"/>
      <c r="AG11" s="1312"/>
      <c r="AH11" s="1312"/>
      <c r="AI11" s="1312"/>
      <c r="AJ11" s="1312"/>
      <c r="AK11" s="1312"/>
      <c r="AL11" s="1312"/>
      <c r="AM11" s="1312"/>
      <c r="AN11" s="1312"/>
      <c r="AO11" s="1312"/>
      <c r="AP11" s="1312"/>
      <c r="AQ11" s="1312"/>
      <c r="AR11" s="1312"/>
      <c r="AS11" s="1312"/>
      <c r="AT11" s="1312"/>
      <c r="AU11" s="1312"/>
      <c r="AV11" s="1422"/>
      <c r="AW11" s="1312"/>
      <c r="AX11" s="1312"/>
      <c r="AY11" s="1312"/>
      <c r="AZ11" s="1312"/>
      <c r="BA11" s="1312"/>
      <c r="BB11" s="1312"/>
      <c r="BC11" s="1312"/>
      <c r="BD11" s="1312"/>
      <c r="BE11" s="1312"/>
      <c r="BF11" s="1312"/>
      <c r="BG11" s="1312"/>
      <c r="BH11" s="1312"/>
      <c r="BI11" s="1312"/>
      <c r="BJ11" s="1312"/>
      <c r="BK11" s="1312"/>
      <c r="BL11" s="1312"/>
      <c r="BM11" s="1312">
        <f>BM7/BM8</f>
        <v>2.5953098426165489E-2</v>
      </c>
      <c r="BN11" s="1312">
        <f>BN7/BN8</f>
        <v>2.5953098426165489E-2</v>
      </c>
    </row>
    <row r="12" spans="1:154" ht="22.9" customHeight="1">
      <c r="A12" s="1412"/>
      <c r="B12" s="2269" t="s">
        <v>873</v>
      </c>
      <c r="C12" s="2270">
        <v>27882.22</v>
      </c>
      <c r="D12" s="2271">
        <f>SUM(F10:F11)</f>
        <v>0.99999964134854125</v>
      </c>
      <c r="E12" s="2272">
        <f>27882.22</f>
        <v>27882.22</v>
      </c>
      <c r="F12" s="2271">
        <f>E12/27882.22</f>
        <v>1</v>
      </c>
      <c r="G12" s="1412"/>
      <c r="H12" s="1412"/>
      <c r="I12" s="1412"/>
      <c r="J12" s="1412"/>
      <c r="K12" s="1412"/>
      <c r="L12" s="1412"/>
      <c r="M12" s="1412"/>
      <c r="N12" s="1412"/>
      <c r="O12" s="1412"/>
      <c r="P12" s="1279"/>
    </row>
    <row r="13" spans="1:154" ht="15.6" customHeight="1">
      <c r="A13" s="1412"/>
      <c r="B13" s="1423" t="s">
        <v>874</v>
      </c>
      <c r="C13" s="1412"/>
      <c r="D13" s="1412"/>
      <c r="E13" s="1412"/>
      <c r="F13" s="1412"/>
      <c r="G13" s="1412"/>
      <c r="H13" s="1412"/>
      <c r="I13" s="1412"/>
      <c r="J13" s="1412"/>
      <c r="K13" s="1412"/>
      <c r="L13" s="1412"/>
      <c r="M13" s="1412"/>
      <c r="N13" s="1412"/>
      <c r="O13" s="1412"/>
      <c r="P13" s="1279"/>
      <c r="BL13" s="1323"/>
    </row>
    <row r="14" spans="1:154" ht="12.75" customHeight="1">
      <c r="A14" s="1410"/>
      <c r="B14" s="1424"/>
      <c r="C14" s="1424"/>
      <c r="D14" s="1410"/>
      <c r="E14" s="1410"/>
      <c r="F14" s="1424"/>
      <c r="G14" s="1424"/>
      <c r="H14" s="1424"/>
      <c r="I14" s="1424"/>
      <c r="J14" s="1424"/>
      <c r="K14" s="1424"/>
      <c r="L14" s="1424"/>
      <c r="M14" s="1424"/>
      <c r="N14" s="1424"/>
      <c r="O14" s="1424"/>
      <c r="P14" s="1279"/>
    </row>
    <row r="15" spans="1:154" ht="12.75" customHeight="1">
      <c r="A15" s="1410"/>
      <c r="B15" s="1424"/>
      <c r="C15" s="1424"/>
      <c r="D15" s="1410"/>
      <c r="E15" s="1410"/>
      <c r="F15" s="1424"/>
      <c r="G15" s="1424"/>
      <c r="H15" s="1424"/>
      <c r="I15" s="1424"/>
      <c r="J15" s="1424"/>
      <c r="K15" s="1424"/>
      <c r="L15" s="1424"/>
      <c r="M15" s="1424"/>
      <c r="N15" s="1424"/>
      <c r="O15" s="1424"/>
      <c r="P15" s="1279"/>
    </row>
    <row r="16" spans="1:154" ht="12.75" customHeight="1">
      <c r="A16" s="1410"/>
      <c r="B16" s="1424"/>
      <c r="C16" s="1424"/>
      <c r="D16" s="1410"/>
      <c r="E16" s="1410"/>
      <c r="F16" s="1424"/>
      <c r="G16" s="1424"/>
      <c r="H16" s="1424"/>
      <c r="I16" s="1424"/>
      <c r="J16" s="1424"/>
      <c r="K16" s="1424"/>
      <c r="L16" s="1424"/>
      <c r="M16" s="1424"/>
      <c r="N16" s="1424"/>
      <c r="O16" s="1424"/>
      <c r="P16" s="1279"/>
    </row>
    <row r="17" spans="1:171" ht="12.75" customHeight="1">
      <c r="A17" s="1410"/>
      <c r="B17" s="1424"/>
      <c r="C17" s="1424"/>
      <c r="D17" s="1410"/>
      <c r="E17" s="1410"/>
      <c r="F17" s="1424"/>
      <c r="G17" s="1424"/>
      <c r="H17" s="1424"/>
      <c r="I17" s="1424"/>
      <c r="J17" s="1424"/>
      <c r="K17" s="1424"/>
      <c r="L17" s="1424"/>
      <c r="M17" s="1424"/>
      <c r="N17" s="1424"/>
      <c r="O17" s="1424"/>
      <c r="P17" s="1279"/>
    </row>
    <row r="18" spans="1:171" ht="12.75" customHeight="1">
      <c r="A18" s="1410"/>
      <c r="B18" s="1424"/>
      <c r="C18" s="1424"/>
      <c r="D18" s="1410"/>
      <c r="E18" s="1410"/>
      <c r="F18" s="1424"/>
      <c r="G18" s="1424"/>
      <c r="H18" s="1424"/>
      <c r="I18" s="1424"/>
      <c r="J18" s="1424"/>
      <c r="K18" s="1424"/>
      <c r="L18" s="1424"/>
      <c r="M18" s="1424"/>
      <c r="N18" s="1424"/>
      <c r="O18" s="1424"/>
      <c r="P18" s="1279"/>
    </row>
    <row r="19" spans="1:171" ht="12.75" customHeight="1">
      <c r="A19" s="1410"/>
      <c r="B19" s="1424"/>
      <c r="C19" s="1424"/>
      <c r="D19" s="1410"/>
      <c r="E19" s="1410"/>
      <c r="F19" s="1424"/>
      <c r="G19" s="1424"/>
      <c r="H19" s="1424"/>
      <c r="I19" s="1424"/>
      <c r="J19" s="1424"/>
      <c r="K19" s="1424"/>
      <c r="L19" s="1424"/>
      <c r="M19" s="1424"/>
      <c r="N19" s="1424"/>
      <c r="O19" s="1424"/>
      <c r="P19" s="1279"/>
    </row>
    <row r="20" spans="1:171" ht="12.75" customHeight="1">
      <c r="A20" s="1410"/>
      <c r="B20" s="1424"/>
      <c r="C20" s="1424"/>
      <c r="D20" s="1410"/>
      <c r="E20" s="1410"/>
      <c r="F20" s="1424"/>
      <c r="G20" s="1424"/>
      <c r="H20" s="1424"/>
      <c r="I20" s="1424"/>
      <c r="J20" s="1424"/>
      <c r="K20" s="1424"/>
      <c r="L20" s="1424"/>
      <c r="M20" s="1424"/>
      <c r="N20" s="1424"/>
      <c r="O20" s="1424"/>
      <c r="P20" s="1279"/>
    </row>
    <row r="21" spans="1:171" ht="12.75" customHeight="1">
      <c r="A21" s="1410"/>
      <c r="B21" s="1424"/>
      <c r="C21" s="1424"/>
      <c r="D21" s="1410"/>
      <c r="E21" s="1410"/>
      <c r="F21" s="1424"/>
      <c r="G21" s="1424"/>
      <c r="H21" s="1424"/>
      <c r="I21" s="1424"/>
      <c r="J21" s="1424"/>
      <c r="K21" s="1424"/>
      <c r="L21" s="1424"/>
      <c r="M21" s="1424"/>
      <c r="N21" s="1424"/>
      <c r="O21" s="1424"/>
      <c r="P21" s="1279"/>
    </row>
    <row r="22" spans="1:171" ht="12.75" customHeight="1">
      <c r="A22" s="1410"/>
      <c r="B22" s="1424"/>
      <c r="C22" s="1424"/>
      <c r="D22" s="1410"/>
      <c r="E22" s="1410"/>
      <c r="F22" s="1424"/>
      <c r="G22" s="1424"/>
      <c r="H22" s="1424"/>
      <c r="I22" s="1424"/>
      <c r="J22" s="1424"/>
      <c r="K22" s="1424"/>
      <c r="L22" s="1424"/>
      <c r="M22" s="1424"/>
      <c r="N22" s="1424"/>
      <c r="O22" s="1424"/>
      <c r="P22" s="1279"/>
    </row>
    <row r="23" spans="1:171" ht="21" customHeight="1">
      <c r="A23" s="1411" t="s">
        <v>1098</v>
      </c>
      <c r="B23" s="2281"/>
      <c r="C23" s="2281"/>
      <c r="D23" s="2281"/>
      <c r="E23" s="2281"/>
      <c r="F23" s="2281"/>
      <c r="G23" s="2281"/>
      <c r="H23" s="2281"/>
      <c r="I23" s="2281"/>
      <c r="J23" s="2281"/>
      <c r="K23" s="2281"/>
      <c r="L23" s="2281"/>
      <c r="M23" s="2281"/>
      <c r="N23" s="2281"/>
      <c r="O23" s="2282"/>
      <c r="P23" s="2068"/>
    </row>
    <row r="24" spans="1:171" ht="12.75" customHeight="1">
      <c r="A24" s="1426"/>
      <c r="B24" s="1424"/>
      <c r="C24" s="1424"/>
      <c r="D24" s="1424"/>
      <c r="E24" s="1424"/>
      <c r="F24" s="1424"/>
      <c r="G24" s="1424"/>
      <c r="H24" s="1424"/>
      <c r="I24" s="1424"/>
      <c r="J24" s="1424"/>
      <c r="K24" s="1424"/>
      <c r="L24" s="1424"/>
      <c r="M24" s="1424"/>
      <c r="N24" s="1424"/>
      <c r="O24" s="1410"/>
      <c r="P24" s="1279"/>
      <c r="S24" s="1022"/>
    </row>
    <row r="25" spans="1:171" s="1425" customFormat="1" ht="12.75" customHeight="1">
      <c r="A25" s="1426"/>
      <c r="B25" s="1424"/>
      <c r="C25" s="1424"/>
      <c r="D25" s="1424"/>
      <c r="E25" s="1424"/>
      <c r="F25" s="1424"/>
      <c r="G25" s="1424"/>
      <c r="Q25" s="1279"/>
      <c r="R25" s="1006"/>
      <c r="S25" s="1006"/>
      <c r="T25" s="1006"/>
      <c r="U25" s="1006"/>
      <c r="V25" s="1006"/>
      <c r="W25" s="1006"/>
      <c r="X25" s="1006"/>
      <c r="Y25" s="1006"/>
      <c r="Z25" s="1006"/>
      <c r="AA25" s="1006"/>
      <c r="AB25" s="1006"/>
      <c r="AC25" s="1006"/>
      <c r="AD25" s="1006"/>
      <c r="AE25" s="1006"/>
      <c r="AF25" s="1006"/>
      <c r="AG25" s="1006"/>
      <c r="AH25" s="1006"/>
      <c r="AI25" s="1006"/>
      <c r="AJ25" s="1006"/>
      <c r="AK25" s="1006"/>
      <c r="AL25" s="1006"/>
      <c r="AM25" s="1006"/>
      <c r="AN25" s="1006"/>
      <c r="AO25" s="1006"/>
      <c r="AP25" s="1006"/>
      <c r="AQ25" s="1006"/>
      <c r="AR25" s="1006"/>
      <c r="AS25" s="1006"/>
      <c r="AT25" s="1006"/>
      <c r="AU25" s="1006"/>
      <c r="AV25" s="1006"/>
      <c r="AW25" s="1006"/>
      <c r="AX25" s="1006"/>
      <c r="AY25" s="1006"/>
      <c r="AZ25" s="1006"/>
      <c r="BA25" s="1006"/>
      <c r="BB25" s="1006"/>
      <c r="BC25" s="1006"/>
      <c r="BD25" s="1006"/>
      <c r="BE25" s="1006"/>
      <c r="BF25" s="1006"/>
      <c r="BG25" s="1006"/>
      <c r="BH25" s="1006"/>
      <c r="BI25" s="1006"/>
      <c r="BJ25" s="1006"/>
      <c r="BK25" s="1006"/>
      <c r="BL25" s="1006"/>
      <c r="BM25" s="1006"/>
      <c r="BN25" s="1006"/>
      <c r="BO25" s="1006"/>
      <c r="BP25" s="1006"/>
      <c r="BQ25" s="1006"/>
      <c r="BR25" s="1006"/>
      <c r="BS25" s="1006"/>
      <c r="BT25" s="1006"/>
      <c r="BU25" s="1006"/>
      <c r="BV25" s="1006"/>
      <c r="BW25" s="1006"/>
      <c r="BX25" s="1006"/>
      <c r="BY25" s="1006"/>
      <c r="BZ25" s="1006"/>
      <c r="CA25" s="1006"/>
      <c r="CB25" s="1006"/>
      <c r="CC25" s="1006"/>
      <c r="CD25" s="1006"/>
      <c r="CE25" s="1006"/>
      <c r="CF25" s="1006"/>
      <c r="CG25" s="1006"/>
      <c r="CH25" s="1006"/>
    </row>
    <row r="26" spans="1:171" s="1425" customFormat="1" ht="12.75" customHeight="1">
      <c r="A26" s="1427"/>
      <c r="B26" s="1428" t="s">
        <v>1092</v>
      </c>
      <c r="C26" s="1429"/>
      <c r="D26" s="1429"/>
      <c r="E26" s="1429"/>
      <c r="F26" s="1430" t="s">
        <v>875</v>
      </c>
      <c r="G26" s="1431"/>
      <c r="H26" s="1428" t="str">
        <f>H48</f>
        <v>누적 세부 (14기_24년 04월~24년 07월)</v>
      </c>
      <c r="I26" s="1429"/>
      <c r="J26" s="1429"/>
      <c r="K26" s="1429"/>
      <c r="L26" s="1429"/>
      <c r="M26" s="1429"/>
      <c r="N26" s="1429"/>
      <c r="O26" s="1430"/>
      <c r="P26" s="1430" t="s">
        <v>875</v>
      </c>
      <c r="Q26" s="1279"/>
      <c r="R26" s="1006"/>
      <c r="S26" s="1006"/>
      <c r="T26" s="1006"/>
      <c r="U26" s="1006"/>
      <c r="V26" s="1006"/>
      <c r="W26" s="1006"/>
      <c r="X26" s="1006"/>
      <c r="Y26" s="1006"/>
      <c r="Z26" s="1006"/>
      <c r="AA26" s="1006"/>
      <c r="AB26" s="1006"/>
      <c r="AC26" s="1006"/>
      <c r="AD26" s="1006"/>
      <c r="AE26" s="1006"/>
      <c r="AF26" s="1006"/>
      <c r="AG26" s="1006"/>
      <c r="AH26" s="1006"/>
      <c r="AI26" s="1006"/>
      <c r="AJ26" s="1006"/>
      <c r="AK26" s="1006"/>
      <c r="AL26" s="1006"/>
      <c r="AM26" s="1006"/>
      <c r="AN26" s="1006"/>
      <c r="AO26" s="1006"/>
      <c r="AP26" s="1006"/>
      <c r="AQ26" s="1006"/>
      <c r="AR26" s="1006"/>
      <c r="AS26" s="1006"/>
      <c r="AT26" s="1006"/>
      <c r="AU26" s="1006"/>
      <c r="AV26" s="1006"/>
      <c r="AW26" s="1006"/>
      <c r="AX26" s="1006"/>
      <c r="AY26" s="1006"/>
      <c r="AZ26" s="1006"/>
      <c r="BA26" s="1006"/>
      <c r="BB26" s="1006"/>
      <c r="BC26" s="1006"/>
      <c r="BD26" s="1006"/>
      <c r="BE26" s="1006"/>
      <c r="BF26" s="1006"/>
      <c r="BG26" s="1006"/>
      <c r="BH26" s="1006"/>
      <c r="BI26" s="1006"/>
      <c r="BJ26" s="1006"/>
      <c r="BK26" s="1006"/>
      <c r="BL26" s="1006"/>
      <c r="BM26" s="1006"/>
      <c r="BN26" s="1006"/>
      <c r="BO26" s="1006"/>
      <c r="BP26" s="1006"/>
      <c r="BQ26" s="1006"/>
      <c r="BR26" s="1006"/>
      <c r="BS26" s="1006"/>
      <c r="BT26" s="1006"/>
      <c r="BU26" s="1006"/>
      <c r="BV26" s="1006"/>
      <c r="BW26" s="1006"/>
      <c r="BX26" s="1006"/>
      <c r="BY26" s="1006"/>
      <c r="BZ26" s="1006"/>
      <c r="CA26" s="1006"/>
      <c r="CB26" s="1006"/>
      <c r="CC26" s="1006"/>
      <c r="CD26" s="1006"/>
      <c r="CE26" s="1006"/>
      <c r="CF26" s="1006"/>
      <c r="CG26" s="1006"/>
      <c r="CH26" s="1006"/>
    </row>
    <row r="27" spans="1:171" s="1425" customFormat="1" ht="20.45" customHeight="1">
      <c r="A27" s="1427"/>
      <c r="B27" s="2273" t="s">
        <v>1090</v>
      </c>
      <c r="C27" s="2273" t="s">
        <v>877</v>
      </c>
      <c r="D27" s="2273" t="s">
        <v>878</v>
      </c>
      <c r="E27" s="2273" t="s">
        <v>879</v>
      </c>
      <c r="F27" s="2273" t="s">
        <v>880</v>
      </c>
      <c r="G27" s="1431"/>
      <c r="H27" s="2262" t="s">
        <v>1091</v>
      </c>
      <c r="I27" s="2809" t="s">
        <v>877</v>
      </c>
      <c r="J27" s="2810"/>
      <c r="K27" s="2809" t="s">
        <v>878</v>
      </c>
      <c r="L27" s="2810"/>
      <c r="M27" s="2809" t="s">
        <v>879</v>
      </c>
      <c r="N27" s="2810"/>
      <c r="O27" s="2809" t="s">
        <v>880</v>
      </c>
      <c r="P27" s="2810"/>
      <c r="Q27" s="1279"/>
      <c r="R27" s="1006"/>
      <c r="S27" s="1006"/>
      <c r="T27" s="1006"/>
      <c r="U27" s="1006"/>
      <c r="V27" s="1006"/>
      <c r="W27" s="1006"/>
      <c r="X27" s="1006"/>
      <c r="Y27" s="1006"/>
      <c r="Z27" s="1006"/>
      <c r="AA27" s="1006"/>
      <c r="AB27" s="1006"/>
      <c r="AC27" s="1006"/>
      <c r="AD27" s="1006"/>
      <c r="AE27" s="1006"/>
      <c r="AF27" s="1006"/>
      <c r="AG27" s="1006"/>
      <c r="AH27" s="1006"/>
      <c r="AI27" s="1006"/>
      <c r="AJ27" s="1006"/>
      <c r="AK27" s="1006"/>
      <c r="AL27" s="1006"/>
      <c r="AM27" s="1006"/>
      <c r="AN27" s="1006"/>
      <c r="AO27" s="1006"/>
      <c r="AP27" s="1006"/>
      <c r="AQ27" s="1006"/>
      <c r="AR27" s="1006"/>
      <c r="AS27" s="1006"/>
      <c r="AT27" s="1006"/>
      <c r="AU27" s="1006"/>
      <c r="AV27" s="1006"/>
      <c r="AW27" s="1006"/>
      <c r="AX27" s="1006"/>
      <c r="AY27" s="1006"/>
      <c r="AZ27" s="1006"/>
      <c r="BA27" s="1006"/>
      <c r="BB27" s="1006"/>
      <c r="BC27" s="1006"/>
      <c r="BD27" s="1006"/>
      <c r="BE27" s="1006"/>
      <c r="BF27" s="1006"/>
      <c r="BG27" s="1006"/>
      <c r="BH27" s="1006"/>
      <c r="BI27" s="1006"/>
      <c r="BJ27" s="1006"/>
      <c r="BK27" s="1006"/>
      <c r="BL27" s="1006"/>
      <c r="BM27" s="1006"/>
      <c r="BN27" s="1006"/>
      <c r="BO27" s="1006"/>
      <c r="BP27" s="1006"/>
      <c r="BQ27" s="1006"/>
      <c r="BR27" s="1006"/>
      <c r="BS27" s="1006"/>
      <c r="BT27" s="1006"/>
      <c r="BU27" s="1006"/>
      <c r="BV27" s="1006"/>
      <c r="BW27" s="1006"/>
      <c r="BX27" s="1006"/>
      <c r="BY27" s="1006"/>
      <c r="BZ27" s="1006"/>
      <c r="CA27" s="1006"/>
      <c r="CB27" s="1006"/>
      <c r="CC27" s="1006"/>
      <c r="CD27" s="1006"/>
      <c r="CE27" s="1006"/>
      <c r="CF27" s="1006"/>
      <c r="CG27" s="1006"/>
    </row>
    <row r="28" spans="1:171" s="1425" customFormat="1" ht="20.45" customHeight="1">
      <c r="A28" s="1427"/>
      <c r="B28" s="2279" t="s">
        <v>1086</v>
      </c>
      <c r="C28" s="2274">
        <f>D50/1000000</f>
        <v>2076.7678275176895</v>
      </c>
      <c r="D28" s="2274">
        <f>E50/1000000</f>
        <v>2156.845734</v>
      </c>
      <c r="E28" s="2275">
        <f>D28-C28</f>
        <v>80.077906482310482</v>
      </c>
      <c r="F28" s="2276">
        <f>(D28/C28)</f>
        <v>1.0385589113146199</v>
      </c>
      <c r="G28" s="1431"/>
      <c r="H28" s="2280" t="s">
        <v>1078</v>
      </c>
      <c r="I28" s="2797">
        <f>H50</f>
        <v>8357883237.2295485</v>
      </c>
      <c r="J28" s="2798"/>
      <c r="K28" s="2797">
        <f>O50</f>
        <v>8400660119</v>
      </c>
      <c r="L28" s="2798"/>
      <c r="M28" s="2799">
        <f>K28-I28</f>
        <v>42776881.770451546</v>
      </c>
      <c r="N28" s="2800"/>
      <c r="O28" s="2811">
        <f>K28/I28</f>
        <v>1.0051181478080364</v>
      </c>
      <c r="P28" s="2812"/>
      <c r="Q28" s="1279"/>
      <c r="R28" s="1006"/>
      <c r="S28" s="1006"/>
      <c r="T28" s="1006"/>
      <c r="U28" s="1006"/>
      <c r="V28" s="1006"/>
      <c r="W28" s="1006"/>
      <c r="X28" s="1006"/>
      <c r="Y28" s="1006"/>
      <c r="Z28" s="1006"/>
      <c r="AA28" s="1006"/>
      <c r="AB28" s="1006"/>
      <c r="AC28" s="1006"/>
      <c r="AD28" s="1006"/>
      <c r="AE28" s="1006"/>
      <c r="AF28" s="1006"/>
      <c r="AG28" s="1006"/>
      <c r="AH28" s="1006"/>
      <c r="AI28" s="1006"/>
      <c r="AJ28" s="1006"/>
      <c r="AK28" s="1006"/>
      <c r="AL28" s="1006"/>
      <c r="AM28" s="1006"/>
      <c r="AN28" s="1006"/>
      <c r="AO28" s="1006"/>
      <c r="AP28" s="1006"/>
      <c r="AQ28" s="1006"/>
      <c r="AR28" s="1006"/>
      <c r="AS28" s="1006"/>
      <c r="AT28" s="1006"/>
      <c r="AU28" s="1006"/>
      <c r="AV28" s="1006"/>
      <c r="AW28" s="1006"/>
      <c r="AX28" s="1006"/>
      <c r="AY28" s="1006"/>
      <c r="AZ28" s="1006"/>
      <c r="BA28" s="1006"/>
      <c r="BB28" s="1006"/>
      <c r="BC28" s="1006"/>
      <c r="BD28" s="1006"/>
      <c r="BE28" s="1006"/>
      <c r="BF28" s="1006"/>
      <c r="BG28" s="1006"/>
      <c r="BH28" s="1006"/>
      <c r="BI28" s="1006"/>
      <c r="BJ28" s="1006"/>
      <c r="BK28" s="1006"/>
      <c r="BL28" s="1006"/>
      <c r="BM28" s="1006"/>
      <c r="BN28" s="1006"/>
      <c r="BO28" s="1006"/>
      <c r="BP28" s="1006"/>
      <c r="BQ28" s="1006"/>
      <c r="BR28" s="1006"/>
      <c r="BS28" s="1006"/>
      <c r="BT28" s="1006"/>
      <c r="BU28" s="1006"/>
      <c r="BV28" s="1006"/>
      <c r="BW28" s="1006"/>
      <c r="BX28" s="1006"/>
      <c r="BY28" s="1006"/>
      <c r="BZ28" s="1006"/>
      <c r="CA28" s="1006"/>
      <c r="CB28" s="1006"/>
      <c r="CC28" s="1006"/>
      <c r="CD28" s="1006"/>
      <c r="CE28" s="1006"/>
      <c r="CF28" s="1006"/>
      <c r="CG28" s="1006"/>
    </row>
    <row r="29" spans="1:171" s="1425" customFormat="1" ht="20.45" customHeight="1">
      <c r="A29" s="1427"/>
      <c r="B29" s="2279" t="s">
        <v>1087</v>
      </c>
      <c r="C29" s="2274">
        <f>D54/1000000</f>
        <v>1094.2961358420239</v>
      </c>
      <c r="D29" s="2274">
        <f>E54/1000000</f>
        <v>977.41201999999998</v>
      </c>
      <c r="E29" s="2275">
        <f>D29-C29</f>
        <v>-116.8841158420239</v>
      </c>
      <c r="F29" s="2276">
        <f>(D29/C29)</f>
        <v>0.89318785654663257</v>
      </c>
      <c r="G29" s="1431"/>
      <c r="H29" s="2280" t="s">
        <v>1080</v>
      </c>
      <c r="I29" s="2797">
        <f>H54</f>
        <v>4153307943.0097842</v>
      </c>
      <c r="J29" s="2798"/>
      <c r="K29" s="2797">
        <f>O54</f>
        <v>4155475443</v>
      </c>
      <c r="L29" s="2798"/>
      <c r="M29" s="2817">
        <f>K29-I29</f>
        <v>2167499.9902157784</v>
      </c>
      <c r="N29" s="2818"/>
      <c r="O29" s="2811">
        <f>K29/I29</f>
        <v>1.0005218731719288</v>
      </c>
      <c r="P29" s="2812"/>
      <c r="Q29" s="1279"/>
      <c r="R29" s="1006"/>
      <c r="S29" s="1006"/>
      <c r="T29" s="1006"/>
      <c r="U29" s="1006"/>
      <c r="V29" s="1006"/>
      <c r="W29" s="1006"/>
      <c r="X29" s="1006"/>
      <c r="Y29" s="1006"/>
      <c r="Z29" s="1006"/>
      <c r="AA29" s="1006"/>
      <c r="AB29" s="1006"/>
      <c r="AC29" s="1006"/>
      <c r="AD29" s="1006"/>
      <c r="AE29" s="1006"/>
      <c r="AF29" s="1006"/>
      <c r="AG29" s="1006"/>
      <c r="AH29" s="1006"/>
      <c r="AI29" s="1006"/>
      <c r="AJ29" s="1006"/>
      <c r="AK29" s="1006"/>
      <c r="AL29" s="1006"/>
      <c r="AM29" s="1006"/>
      <c r="AN29" s="1006"/>
      <c r="AO29" s="1006"/>
      <c r="AP29" s="1006"/>
      <c r="AQ29" s="1006"/>
      <c r="AR29" s="1006"/>
      <c r="AS29" s="1006"/>
      <c r="AT29" s="1006"/>
      <c r="AU29" s="1006"/>
      <c r="AV29" s="1006"/>
      <c r="AW29" s="1006"/>
      <c r="AX29" s="1006"/>
      <c r="AY29" s="1006"/>
      <c r="AZ29" s="1006"/>
      <c r="BA29" s="1006"/>
      <c r="BB29" s="1006"/>
      <c r="BC29" s="1006"/>
      <c r="BD29" s="1006"/>
      <c r="BE29" s="1006"/>
      <c r="BF29" s="1006"/>
      <c r="BG29" s="1006"/>
      <c r="BH29" s="1006"/>
      <c r="BI29" s="1006"/>
      <c r="BJ29" s="1006"/>
      <c r="BK29" s="1006"/>
      <c r="BL29" s="1006"/>
      <c r="BM29" s="1006"/>
      <c r="BN29" s="1006"/>
      <c r="BO29" s="1006"/>
      <c r="BP29" s="1006"/>
      <c r="BQ29" s="1006"/>
      <c r="BR29" s="1006"/>
      <c r="BS29" s="1006"/>
      <c r="BT29" s="1006"/>
      <c r="BU29" s="1006"/>
      <c r="BV29" s="1006"/>
      <c r="BW29" s="1006"/>
      <c r="BX29" s="1006"/>
      <c r="BY29" s="1006"/>
      <c r="BZ29" s="1006"/>
      <c r="CA29" s="1006"/>
      <c r="CB29" s="1006"/>
      <c r="CC29" s="1006"/>
      <c r="CD29" s="1006"/>
      <c r="CE29" s="1006"/>
      <c r="CF29" s="1006"/>
      <c r="CG29" s="1006"/>
    </row>
    <row r="30" spans="1:171" s="1425" customFormat="1" ht="20.45" customHeight="1">
      <c r="A30" s="1427"/>
      <c r="B30" s="2279" t="s">
        <v>1088</v>
      </c>
      <c r="C30" s="2274">
        <f>D78/1000000</f>
        <v>982.47169167566562</v>
      </c>
      <c r="D30" s="2277">
        <f>E78/1000000</f>
        <v>1179.433714</v>
      </c>
      <c r="E30" s="2275">
        <f>D30-C30</f>
        <v>196.96202232433438</v>
      </c>
      <c r="F30" s="2276">
        <f>(D30/C30)</f>
        <v>1.200476027953949</v>
      </c>
      <c r="G30" s="1431"/>
      <c r="H30" s="2280" t="s">
        <v>1082</v>
      </c>
      <c r="I30" s="2797">
        <f>H78</f>
        <v>4204575294.2197642</v>
      </c>
      <c r="J30" s="2798"/>
      <c r="K30" s="2797">
        <f>O78</f>
        <v>4245184676</v>
      </c>
      <c r="L30" s="2798"/>
      <c r="M30" s="2799">
        <f>K30-I30</f>
        <v>40609381.780235767</v>
      </c>
      <c r="N30" s="2800"/>
      <c r="O30" s="2811">
        <f>K30/I30</f>
        <v>1.0096583790129918</v>
      </c>
      <c r="P30" s="2812"/>
      <c r="Q30" s="1279"/>
      <c r="R30" s="1006"/>
      <c r="S30" s="1006"/>
      <c r="T30" s="1006"/>
      <c r="U30" s="1006"/>
      <c r="V30" s="1006"/>
      <c r="W30" s="1006"/>
      <c r="X30" s="1006"/>
      <c r="Y30" s="1006"/>
      <c r="Z30" s="1006"/>
      <c r="AA30" s="1006"/>
      <c r="AB30" s="1006"/>
      <c r="AC30" s="1006"/>
      <c r="AD30" s="1006"/>
      <c r="AE30" s="1006"/>
      <c r="AF30" s="1006"/>
      <c r="AG30" s="1006"/>
      <c r="AH30" s="1006"/>
      <c r="AI30" s="1006"/>
      <c r="AJ30" s="1006"/>
      <c r="AK30" s="1006"/>
      <c r="AL30" s="1006"/>
      <c r="AM30" s="1006"/>
      <c r="AN30" s="1006"/>
      <c r="AO30" s="1006"/>
      <c r="AP30" s="1006"/>
      <c r="AQ30" s="1006"/>
      <c r="AR30" s="1006"/>
      <c r="AS30" s="1006"/>
      <c r="AT30" s="1006"/>
      <c r="AU30" s="1006"/>
      <c r="AV30" s="1006"/>
      <c r="AW30" s="1006"/>
      <c r="AX30" s="1006"/>
      <c r="AY30" s="1006"/>
      <c r="AZ30" s="1006"/>
      <c r="BA30" s="1006"/>
      <c r="BB30" s="1006"/>
      <c r="BC30" s="1006"/>
      <c r="BD30" s="1006"/>
      <c r="BE30" s="1006"/>
      <c r="BF30" s="1006"/>
      <c r="BG30" s="1006"/>
      <c r="BH30" s="1006"/>
      <c r="BI30" s="1006"/>
      <c r="BJ30" s="1006"/>
      <c r="BK30" s="1006"/>
      <c r="BL30" s="1006"/>
      <c r="BM30" s="1006"/>
      <c r="BN30" s="1006"/>
      <c r="BO30" s="1006"/>
      <c r="BP30" s="1006"/>
      <c r="BQ30" s="1006"/>
      <c r="BR30" s="1006"/>
      <c r="BS30" s="1006"/>
      <c r="BT30" s="1006"/>
      <c r="BU30" s="1006"/>
      <c r="BV30" s="1006"/>
      <c r="BW30" s="1006"/>
      <c r="BX30" s="1006"/>
      <c r="BY30" s="1006"/>
      <c r="BZ30" s="1006"/>
      <c r="CA30" s="1006"/>
      <c r="CB30" s="1006"/>
      <c r="CC30" s="1006"/>
      <c r="CD30" s="1006"/>
      <c r="CE30" s="1006"/>
      <c r="CF30" s="1006"/>
      <c r="CG30" s="1006"/>
    </row>
    <row r="31" spans="1:171" s="1425" customFormat="1" ht="20.45" customHeight="1">
      <c r="A31" s="1427"/>
      <c r="B31" s="2279" t="s">
        <v>882</v>
      </c>
      <c r="C31" s="2274"/>
      <c r="D31" s="2277"/>
      <c r="E31" s="2278"/>
      <c r="F31" s="2276"/>
      <c r="G31" s="1431"/>
      <c r="H31" s="2280" t="s">
        <v>882</v>
      </c>
      <c r="I31" s="2813"/>
      <c r="J31" s="2814"/>
      <c r="K31" s="2813"/>
      <c r="L31" s="2814"/>
      <c r="M31" s="2799"/>
      <c r="N31" s="2800"/>
      <c r="O31" s="2815"/>
      <c r="P31" s="2816"/>
      <c r="Q31" s="1279"/>
      <c r="R31" s="1006"/>
      <c r="S31" s="1006"/>
      <c r="T31" s="1006"/>
      <c r="U31" s="1006"/>
      <c r="V31" s="1006"/>
      <c r="W31" s="1006"/>
      <c r="X31" s="1006"/>
      <c r="Y31" s="1006"/>
      <c r="Z31" s="1006"/>
      <c r="AA31" s="1006"/>
      <c r="AB31" s="1006"/>
      <c r="AC31" s="1006"/>
      <c r="AD31" s="1006"/>
      <c r="AE31" s="1006"/>
      <c r="AF31" s="1006"/>
      <c r="AG31" s="1006"/>
      <c r="AH31" s="1006"/>
      <c r="AI31" s="1006"/>
      <c r="AJ31" s="1006"/>
      <c r="AK31" s="1006"/>
      <c r="AL31" s="1006"/>
      <c r="AM31" s="1006"/>
      <c r="AN31" s="1006"/>
      <c r="AO31" s="1006"/>
      <c r="AP31" s="1006"/>
      <c r="AQ31" s="1006"/>
      <c r="AR31" s="1006"/>
      <c r="AS31" s="1006"/>
      <c r="AT31" s="1006"/>
      <c r="AU31" s="1006"/>
      <c r="AV31" s="1006"/>
      <c r="AW31" s="1006"/>
      <c r="AX31" s="1006"/>
      <c r="AY31" s="1006"/>
      <c r="AZ31" s="1006"/>
      <c r="BA31" s="1006"/>
      <c r="BB31" s="1006"/>
      <c r="BC31" s="1006"/>
      <c r="BD31" s="1006"/>
      <c r="BE31" s="1006"/>
      <c r="BF31" s="1006"/>
      <c r="BG31" s="1006"/>
      <c r="BH31" s="1006"/>
      <c r="BI31" s="1006"/>
      <c r="BJ31" s="1006"/>
      <c r="BK31" s="1006"/>
      <c r="BL31" s="1006"/>
      <c r="BM31" s="1006"/>
      <c r="BN31" s="1006"/>
      <c r="BO31" s="1006"/>
      <c r="BP31" s="1006"/>
      <c r="BQ31" s="1006"/>
      <c r="BR31" s="1006"/>
      <c r="BS31" s="1006"/>
      <c r="BT31" s="1006"/>
      <c r="BU31" s="1006"/>
      <c r="BV31" s="1006"/>
      <c r="BW31" s="1006"/>
      <c r="BX31" s="1006"/>
      <c r="BY31" s="1006"/>
      <c r="BZ31" s="1006"/>
      <c r="CA31" s="1006"/>
      <c r="CB31" s="1006"/>
      <c r="CC31" s="1006"/>
      <c r="CD31" s="1006"/>
      <c r="CE31" s="1006"/>
      <c r="CF31" s="1006"/>
      <c r="CG31" s="1006"/>
      <c r="CI31" s="1006"/>
      <c r="CJ31" s="1006"/>
      <c r="CK31" s="1006"/>
      <c r="CL31" s="1006"/>
      <c r="CM31" s="1006"/>
      <c r="CN31" s="1006"/>
      <c r="CO31" s="1006"/>
      <c r="CP31" s="1006"/>
      <c r="CQ31" s="1006"/>
      <c r="CR31" s="1006"/>
      <c r="CS31" s="1006"/>
      <c r="CT31" s="1006"/>
      <c r="CU31" s="1006"/>
      <c r="CV31" s="1006"/>
      <c r="CW31" s="1006"/>
      <c r="CX31" s="1006"/>
      <c r="CY31" s="1006"/>
      <c r="CZ31" s="1006"/>
      <c r="DA31" s="1006"/>
      <c r="DB31" s="1006"/>
      <c r="DC31" s="1006"/>
      <c r="DD31" s="1006"/>
      <c r="DE31" s="1006"/>
      <c r="DF31" s="1006"/>
      <c r="DG31" s="1006"/>
      <c r="DH31" s="1006"/>
      <c r="DI31" s="1006"/>
      <c r="DJ31" s="1006"/>
      <c r="DK31" s="1006"/>
      <c r="DL31" s="1006"/>
      <c r="DM31" s="1006"/>
      <c r="DN31" s="1006"/>
      <c r="DO31" s="1006"/>
      <c r="DP31" s="1006"/>
      <c r="DQ31" s="1006"/>
      <c r="DR31" s="1006"/>
      <c r="DS31" s="1006"/>
      <c r="DT31" s="1006"/>
      <c r="DU31" s="1006"/>
      <c r="DV31" s="1006"/>
      <c r="DW31" s="1006"/>
      <c r="DX31" s="1006"/>
      <c r="DY31" s="1006"/>
      <c r="DZ31" s="1006"/>
      <c r="EA31" s="1006"/>
      <c r="EB31" s="1006"/>
      <c r="EC31" s="1006"/>
      <c r="ED31" s="1006"/>
      <c r="EE31" s="1006"/>
      <c r="EF31" s="1006"/>
      <c r="EG31" s="1006"/>
      <c r="EH31" s="1006"/>
      <c r="EI31" s="1006"/>
      <c r="EJ31" s="1006"/>
      <c r="EK31" s="1006"/>
      <c r="EL31" s="1006"/>
      <c r="EM31" s="1006"/>
      <c r="EN31" s="1006"/>
      <c r="EO31" s="1006"/>
      <c r="EP31" s="1006"/>
      <c r="EQ31" s="1006"/>
      <c r="ER31" s="1006"/>
      <c r="ES31" s="1006"/>
      <c r="ET31" s="1006"/>
      <c r="EU31" s="1006"/>
      <c r="EV31" s="1006"/>
      <c r="EW31" s="1006"/>
      <c r="EX31" s="1006"/>
      <c r="EY31" s="1006"/>
      <c r="EZ31" s="1006"/>
      <c r="FA31" s="1006"/>
      <c r="FB31" s="1006"/>
      <c r="FC31" s="1006"/>
      <c r="FD31" s="1006"/>
      <c r="FE31" s="1006"/>
      <c r="FF31" s="1006"/>
      <c r="FG31" s="1006"/>
      <c r="FH31" s="1006"/>
      <c r="FI31" s="1006"/>
      <c r="FJ31" s="1006"/>
      <c r="FK31" s="1006"/>
      <c r="FL31" s="1006"/>
      <c r="FM31" s="1006"/>
      <c r="FN31" s="1006"/>
      <c r="FO31" s="1006"/>
    </row>
    <row r="32" spans="1:171" s="1425" customFormat="1" ht="12.75" customHeight="1">
      <c r="A32" s="1427"/>
      <c r="B32" s="1431"/>
      <c r="C32" s="1431"/>
      <c r="D32" s="1431"/>
      <c r="F32" s="1431"/>
      <c r="G32" s="1431"/>
      <c r="H32" s="1431"/>
      <c r="I32" s="1431"/>
      <c r="J32" s="1431"/>
      <c r="K32" s="1431"/>
      <c r="L32" s="1431"/>
      <c r="M32" s="1431"/>
      <c r="N32" s="1431"/>
      <c r="O32" s="1429"/>
      <c r="Q32" s="1279"/>
      <c r="R32" s="1006"/>
      <c r="S32" s="1006"/>
      <c r="T32" s="1006"/>
      <c r="U32" s="1006"/>
      <c r="V32" s="1006"/>
      <c r="W32" s="1006"/>
      <c r="X32" s="1006"/>
      <c r="Y32" s="1006"/>
      <c r="Z32" s="1006"/>
      <c r="AA32" s="1006"/>
      <c r="AB32" s="1006"/>
      <c r="AC32" s="1006"/>
      <c r="AD32" s="1006"/>
      <c r="AE32" s="1006"/>
      <c r="AF32" s="1006"/>
      <c r="AG32" s="1006"/>
      <c r="AH32" s="1006"/>
      <c r="AI32" s="1006"/>
      <c r="AJ32" s="1006"/>
      <c r="AK32" s="1006"/>
      <c r="AL32" s="1006"/>
      <c r="AM32" s="1006"/>
      <c r="AN32" s="1006"/>
      <c r="AO32" s="1006"/>
      <c r="AP32" s="1006"/>
      <c r="AQ32" s="1006"/>
      <c r="AR32" s="1006"/>
      <c r="AS32" s="1006"/>
      <c r="AT32" s="1006"/>
      <c r="AU32" s="1006"/>
      <c r="AV32" s="1006"/>
      <c r="AW32" s="1006"/>
      <c r="AX32" s="1006"/>
      <c r="AY32" s="1006"/>
      <c r="AZ32" s="1006"/>
      <c r="BA32" s="1006"/>
      <c r="BB32" s="1006"/>
      <c r="BC32" s="1006"/>
      <c r="BD32" s="1006"/>
      <c r="BE32" s="1006"/>
      <c r="BF32" s="1006"/>
      <c r="BG32" s="1006"/>
      <c r="BH32" s="1006"/>
      <c r="BI32" s="1006"/>
      <c r="BJ32" s="1006"/>
      <c r="BK32" s="1006"/>
      <c r="BL32" s="1006"/>
      <c r="BM32" s="1006"/>
      <c r="BN32" s="1006"/>
      <c r="BO32" s="1006"/>
      <c r="BP32" s="1006"/>
      <c r="BQ32" s="1006"/>
      <c r="BR32" s="1006"/>
      <c r="BS32" s="1006"/>
      <c r="BT32" s="1006"/>
      <c r="BU32" s="1006"/>
      <c r="BV32" s="1006"/>
      <c r="BW32" s="1006"/>
      <c r="BX32" s="1006"/>
      <c r="BY32" s="1006"/>
      <c r="BZ32" s="1006"/>
      <c r="CA32" s="1006"/>
      <c r="CB32" s="1006"/>
      <c r="CC32" s="1006"/>
      <c r="CD32" s="1006"/>
      <c r="CE32" s="1006"/>
      <c r="CF32" s="1006"/>
      <c r="CG32" s="1006"/>
      <c r="CH32" s="1006"/>
    </row>
    <row r="33" spans="1:87" s="1425" customFormat="1" ht="12.75" customHeight="1">
      <c r="A33" s="1431"/>
      <c r="B33" s="1431"/>
      <c r="C33" s="1431"/>
      <c r="D33" s="1431"/>
      <c r="E33" s="1431"/>
      <c r="F33" s="1431"/>
      <c r="G33" s="1431"/>
      <c r="H33" s="1431"/>
      <c r="I33" s="1431"/>
      <c r="J33" s="1431"/>
      <c r="K33" s="1431"/>
      <c r="L33" s="1431"/>
      <c r="M33" s="1431"/>
      <c r="N33" s="1431"/>
      <c r="O33" s="1429"/>
      <c r="Q33" s="1279"/>
      <c r="R33" s="1006"/>
      <c r="S33" s="1006"/>
      <c r="T33" s="1006"/>
      <c r="U33" s="1006"/>
      <c r="V33" s="1006"/>
      <c r="W33" s="1006"/>
      <c r="X33" s="1006"/>
      <c r="Y33" s="1006"/>
      <c r="Z33" s="1006"/>
      <c r="AA33" s="1006"/>
      <c r="AB33" s="1006"/>
      <c r="AC33" s="1006"/>
      <c r="AD33" s="1006"/>
      <c r="AE33" s="1006"/>
      <c r="AF33" s="1006"/>
      <c r="AG33" s="1006"/>
      <c r="AH33" s="1006"/>
      <c r="AI33" s="1006"/>
      <c r="AJ33" s="1006"/>
      <c r="AK33" s="1006"/>
      <c r="AL33" s="1006"/>
      <c r="AM33" s="1006"/>
      <c r="AN33" s="1006"/>
      <c r="AO33" s="1006"/>
      <c r="AP33" s="1006"/>
      <c r="AQ33" s="1006"/>
      <c r="AR33" s="1006"/>
      <c r="AS33" s="1006"/>
      <c r="AT33" s="1006"/>
      <c r="AU33" s="1006"/>
      <c r="AV33" s="1006"/>
      <c r="AW33" s="1006"/>
      <c r="AX33" s="1006"/>
      <c r="AY33" s="1006"/>
      <c r="AZ33" s="1006"/>
      <c r="BA33" s="1006"/>
      <c r="BB33" s="1006"/>
      <c r="BC33" s="1006"/>
      <c r="BD33" s="1006"/>
      <c r="BE33" s="1006"/>
      <c r="BF33" s="1006"/>
      <c r="BG33" s="1006"/>
      <c r="BH33" s="1006"/>
      <c r="BI33" s="1006"/>
      <c r="BJ33" s="1006"/>
      <c r="BK33" s="1006"/>
      <c r="BL33" s="1006"/>
      <c r="BM33" s="1006"/>
      <c r="BN33" s="1006"/>
      <c r="BO33" s="1006"/>
      <c r="BP33" s="1006"/>
      <c r="BQ33" s="1006"/>
      <c r="BR33" s="1006"/>
      <c r="BS33" s="1006"/>
      <c r="BT33" s="1006"/>
      <c r="BU33" s="1006"/>
      <c r="BV33" s="1006"/>
      <c r="BW33" s="1006"/>
      <c r="BX33" s="1006"/>
      <c r="BY33" s="1006"/>
      <c r="BZ33" s="1006"/>
      <c r="CA33" s="1006"/>
      <c r="CB33" s="1006"/>
      <c r="CC33" s="1006"/>
      <c r="CD33" s="1006"/>
      <c r="CE33" s="1006"/>
      <c r="CF33" s="1006"/>
      <c r="CG33" s="1006"/>
      <c r="CH33" s="1006"/>
    </row>
    <row r="34" spans="1:87" s="1425" customFormat="1" ht="12.75" customHeight="1">
      <c r="A34" s="1431"/>
      <c r="B34" s="1431"/>
      <c r="C34" s="1431"/>
      <c r="D34" s="1431"/>
      <c r="E34" s="1431"/>
      <c r="F34" s="1431"/>
      <c r="G34" s="1431"/>
      <c r="H34" s="1431"/>
      <c r="I34" s="1431"/>
      <c r="J34" s="1431"/>
      <c r="K34" s="1431"/>
      <c r="L34" s="1431"/>
      <c r="M34" s="1431"/>
      <c r="N34" s="1431"/>
      <c r="O34" s="1429"/>
      <c r="Q34" s="1279"/>
      <c r="R34" s="1006"/>
      <c r="S34" s="1006"/>
      <c r="T34" s="1006"/>
      <c r="U34" s="1006"/>
      <c r="V34" s="1006"/>
      <c r="W34" s="1006"/>
      <c r="X34" s="1006"/>
      <c r="Y34" s="1006"/>
      <c r="Z34" s="1006"/>
      <c r="AA34" s="1006"/>
      <c r="AB34" s="1006"/>
      <c r="AC34" s="1006"/>
      <c r="AD34" s="1006"/>
      <c r="AE34" s="1006"/>
      <c r="AF34" s="1006"/>
      <c r="AG34" s="1006"/>
      <c r="AH34" s="1006"/>
      <c r="AI34" s="1006"/>
      <c r="AJ34" s="1006"/>
      <c r="AK34" s="1006"/>
      <c r="AL34" s="1006"/>
      <c r="AM34" s="1006"/>
      <c r="AN34" s="1006"/>
      <c r="AO34" s="1006"/>
      <c r="AP34" s="1006"/>
      <c r="AQ34" s="1006"/>
      <c r="AR34" s="1006"/>
      <c r="AS34" s="1006"/>
      <c r="AT34" s="1006"/>
      <c r="AU34" s="1006"/>
      <c r="AV34" s="1006"/>
      <c r="AW34" s="1006"/>
      <c r="AX34" s="1006"/>
      <c r="AY34" s="1006"/>
      <c r="AZ34" s="1006"/>
      <c r="BA34" s="1006"/>
      <c r="BB34" s="1006"/>
      <c r="BC34" s="1006"/>
      <c r="BD34" s="1006"/>
      <c r="BE34" s="1006"/>
      <c r="BF34" s="1006"/>
      <c r="BG34" s="1006"/>
      <c r="BH34" s="1006"/>
      <c r="BI34" s="1006"/>
      <c r="BJ34" s="1006"/>
      <c r="BK34" s="1006"/>
      <c r="BL34" s="1006"/>
      <c r="BM34" s="1006"/>
      <c r="BN34" s="1006"/>
      <c r="BO34" s="1006"/>
      <c r="BP34" s="1006"/>
      <c r="BQ34" s="1006"/>
      <c r="BR34" s="1006"/>
      <c r="BS34" s="1006"/>
      <c r="BT34" s="1006"/>
      <c r="BU34" s="1006"/>
      <c r="BV34" s="1006"/>
      <c r="BW34" s="1006"/>
      <c r="BX34" s="1006"/>
      <c r="BY34" s="1006"/>
      <c r="BZ34" s="1006"/>
      <c r="CA34" s="1006"/>
      <c r="CB34" s="1006"/>
      <c r="CC34" s="1006"/>
      <c r="CD34" s="1006"/>
      <c r="CE34" s="1006"/>
      <c r="CF34" s="1006"/>
      <c r="CG34" s="1006"/>
      <c r="CH34" s="1006"/>
    </row>
    <row r="35" spans="1:87" s="1425" customFormat="1" ht="12.75" customHeight="1">
      <c r="A35" s="1431"/>
      <c r="B35" s="1431"/>
      <c r="C35" s="1431"/>
      <c r="D35" s="1431"/>
      <c r="E35" s="1431"/>
      <c r="F35" s="1431"/>
      <c r="G35" s="1431"/>
      <c r="H35" s="1431"/>
      <c r="I35" s="1431"/>
      <c r="J35" s="1431"/>
      <c r="K35" s="1431"/>
      <c r="L35" s="1431"/>
      <c r="M35" s="1431"/>
      <c r="N35" s="1431"/>
      <c r="O35" s="1429"/>
      <c r="Q35" s="1279"/>
      <c r="R35" s="1006"/>
      <c r="T35" s="1006"/>
      <c r="U35" s="1006"/>
      <c r="V35" s="1006"/>
      <c r="W35" s="1006"/>
      <c r="X35" s="1006"/>
      <c r="Y35" s="1006"/>
      <c r="Z35" s="1006"/>
      <c r="AA35" s="1006"/>
      <c r="AB35" s="1006"/>
      <c r="AC35" s="1006"/>
      <c r="AD35" s="1006"/>
      <c r="AE35" s="1006"/>
      <c r="AF35" s="1006"/>
      <c r="AG35" s="1006"/>
      <c r="AH35" s="1006"/>
      <c r="AI35" s="1006"/>
      <c r="AJ35" s="1006"/>
      <c r="AK35" s="1006"/>
      <c r="AL35" s="1006"/>
      <c r="AM35" s="1006"/>
      <c r="AN35" s="1006"/>
      <c r="AO35" s="1006"/>
      <c r="AP35" s="1006"/>
      <c r="AQ35" s="1006"/>
      <c r="AR35" s="1006"/>
      <c r="AS35" s="1006"/>
      <c r="AT35" s="1006"/>
      <c r="AU35" s="1006"/>
      <c r="AV35" s="1006"/>
      <c r="AW35" s="1006"/>
      <c r="AX35" s="1006"/>
      <c r="AY35" s="1006"/>
      <c r="AZ35" s="1006"/>
      <c r="BA35" s="1006"/>
      <c r="BB35" s="1006"/>
      <c r="BC35" s="1006"/>
      <c r="BD35" s="1006"/>
      <c r="BE35" s="1006"/>
      <c r="BF35" s="1006"/>
      <c r="BG35" s="1006"/>
      <c r="BH35" s="1006"/>
      <c r="BI35" s="1006"/>
      <c r="BJ35" s="1006"/>
      <c r="BK35" s="1006"/>
      <c r="BL35" s="1006"/>
      <c r="BM35" s="1006"/>
      <c r="BN35" s="1006"/>
      <c r="BO35" s="1006"/>
      <c r="BP35" s="1006"/>
      <c r="BQ35" s="1006"/>
      <c r="BR35" s="1006"/>
      <c r="BS35" s="1006"/>
      <c r="BT35" s="1006"/>
      <c r="BU35" s="1006"/>
      <c r="BV35" s="1006"/>
      <c r="BW35" s="1006"/>
      <c r="BX35" s="1006"/>
      <c r="BY35" s="1006"/>
      <c r="BZ35" s="1006"/>
      <c r="CA35" s="1006"/>
      <c r="CB35" s="1006"/>
      <c r="CC35" s="1006"/>
      <c r="CD35" s="1006"/>
      <c r="CE35" s="1006"/>
      <c r="CF35" s="1006"/>
      <c r="CG35" s="1006"/>
      <c r="CH35" s="1006"/>
    </row>
    <row r="36" spans="1:87" s="1425" customFormat="1" ht="12.75" customHeight="1">
      <c r="A36" s="1431"/>
      <c r="B36" s="1431"/>
      <c r="C36" s="1431"/>
      <c r="D36" s="1431"/>
      <c r="E36" s="1431"/>
      <c r="F36" s="1431"/>
      <c r="G36" s="1431"/>
      <c r="H36" s="1431"/>
      <c r="I36" s="1431"/>
      <c r="J36" s="1431"/>
      <c r="K36" s="1431"/>
      <c r="L36" s="1431"/>
      <c r="M36" s="1431"/>
      <c r="N36" s="1431"/>
      <c r="O36" s="1429"/>
      <c r="Q36" s="1279"/>
      <c r="R36" s="1006"/>
      <c r="S36" s="1006"/>
      <c r="T36" s="1006"/>
      <c r="U36" s="1006"/>
      <c r="V36" s="1006"/>
      <c r="W36" s="1006"/>
      <c r="X36" s="1006"/>
      <c r="Y36" s="1006"/>
      <c r="Z36" s="1006"/>
      <c r="AA36" s="1006"/>
      <c r="AB36" s="1006"/>
      <c r="AC36" s="1006"/>
      <c r="AD36" s="1006"/>
      <c r="AE36" s="1006"/>
      <c r="AF36" s="1006"/>
      <c r="AG36" s="1006"/>
      <c r="AH36" s="1006"/>
      <c r="AI36" s="1006"/>
      <c r="AJ36" s="1006"/>
      <c r="AK36" s="1006"/>
      <c r="AL36" s="1006"/>
      <c r="AM36" s="1006"/>
      <c r="AN36" s="1006"/>
      <c r="AO36" s="1006"/>
      <c r="AP36" s="1006"/>
      <c r="AQ36" s="1006"/>
      <c r="AR36" s="1006"/>
      <c r="AS36" s="1006"/>
      <c r="AT36" s="1006"/>
      <c r="AU36" s="1006"/>
      <c r="AV36" s="1006"/>
      <c r="AW36" s="1006"/>
      <c r="AX36" s="1006"/>
      <c r="AY36" s="1006"/>
      <c r="AZ36" s="1006"/>
      <c r="BA36" s="1006"/>
      <c r="BB36" s="1006"/>
      <c r="BC36" s="1006"/>
      <c r="BD36" s="1006"/>
      <c r="BE36" s="1006"/>
      <c r="BF36" s="1006"/>
      <c r="BG36" s="1006"/>
      <c r="BH36" s="1006"/>
      <c r="BI36" s="1006"/>
      <c r="BJ36" s="1006"/>
      <c r="BK36" s="1006"/>
      <c r="BL36" s="1006"/>
      <c r="BM36" s="1006"/>
      <c r="BN36" s="1006"/>
      <c r="BO36" s="1006"/>
      <c r="BP36" s="1006"/>
      <c r="BR36" s="1006"/>
      <c r="BS36" s="1006"/>
      <c r="BT36" s="1006"/>
      <c r="BU36" s="1006"/>
      <c r="BV36" s="1006"/>
      <c r="BW36" s="1006"/>
      <c r="BX36" s="1006"/>
      <c r="BY36" s="1006"/>
      <c r="BZ36" s="1006"/>
      <c r="CA36" s="1006"/>
      <c r="CB36" s="1006"/>
      <c r="CC36" s="1006"/>
      <c r="CD36" s="1006"/>
      <c r="CE36" s="1006"/>
      <c r="CF36" s="1006"/>
      <c r="CG36" s="1006"/>
      <c r="CH36" s="1006"/>
    </row>
    <row r="37" spans="1:87" s="1425" customFormat="1" ht="12.75" customHeight="1">
      <c r="A37" s="1431"/>
      <c r="B37" s="1431"/>
      <c r="C37" s="1431"/>
      <c r="D37" s="1431"/>
      <c r="E37" s="1431"/>
      <c r="F37" s="1431"/>
      <c r="G37" s="1431"/>
      <c r="H37" s="1431"/>
      <c r="I37" s="1431"/>
      <c r="J37" s="1431"/>
      <c r="K37" s="1431"/>
      <c r="L37" s="1431"/>
      <c r="M37" s="1431"/>
      <c r="N37" s="1431"/>
      <c r="O37" s="1429"/>
      <c r="Q37" s="1279"/>
      <c r="R37" s="1006"/>
      <c r="S37" s="1006"/>
      <c r="T37" s="1006"/>
      <c r="U37" s="1006"/>
      <c r="V37" s="1006"/>
      <c r="W37" s="1006"/>
      <c r="X37" s="1006"/>
      <c r="Y37" s="1006"/>
      <c r="Z37" s="1006"/>
      <c r="AA37" s="1006"/>
      <c r="AB37" s="1006"/>
      <c r="AC37" s="1006"/>
      <c r="AD37" s="1006"/>
      <c r="AE37" s="1006"/>
      <c r="AF37" s="1006"/>
      <c r="AG37" s="1006"/>
      <c r="AH37" s="1006"/>
      <c r="AI37" s="1006"/>
      <c r="AJ37" s="1006"/>
      <c r="AK37" s="1006"/>
      <c r="AL37" s="1006"/>
      <c r="AM37" s="1006"/>
      <c r="AN37" s="1006"/>
      <c r="AO37" s="1006"/>
      <c r="AP37" s="1006"/>
      <c r="AQ37" s="1006"/>
      <c r="AR37" s="1006"/>
      <c r="AS37" s="1006"/>
      <c r="AT37" s="1006"/>
      <c r="AU37" s="1006"/>
      <c r="AV37" s="1006"/>
      <c r="AW37" s="1006"/>
      <c r="AX37" s="1006"/>
      <c r="AY37" s="1006"/>
      <c r="AZ37" s="1006"/>
      <c r="BA37" s="1006"/>
      <c r="BB37" s="1006"/>
      <c r="BC37" s="1006"/>
      <c r="BD37" s="1006"/>
      <c r="BE37" s="1006"/>
      <c r="BF37" s="1006"/>
      <c r="BG37" s="1006"/>
      <c r="BH37" s="1006"/>
      <c r="BI37" s="1006"/>
      <c r="BJ37" s="1006"/>
      <c r="BK37" s="1006"/>
      <c r="BL37" s="1006"/>
      <c r="BM37" s="1006"/>
      <c r="BN37" s="1006"/>
      <c r="BO37" s="1006"/>
      <c r="BP37" s="1006"/>
      <c r="BQ37" s="1006"/>
      <c r="BR37" s="1006"/>
      <c r="BS37" s="1006"/>
      <c r="BT37" s="1006"/>
      <c r="BU37" s="1006"/>
      <c r="BV37" s="1006"/>
      <c r="BW37" s="1006"/>
      <c r="BX37" s="1006"/>
      <c r="BY37" s="1006"/>
      <c r="BZ37" s="1006"/>
      <c r="CA37" s="1006"/>
      <c r="CB37" s="1006"/>
      <c r="CC37" s="1006"/>
      <c r="CD37" s="1006"/>
      <c r="CE37" s="1006"/>
      <c r="CF37" s="1006"/>
      <c r="CG37" s="1006"/>
      <c r="CH37" s="1006"/>
    </row>
    <row r="38" spans="1:87" s="1425" customFormat="1" ht="12.75" customHeight="1">
      <c r="A38" s="1431"/>
      <c r="B38" s="1431"/>
      <c r="C38" s="1431"/>
      <c r="D38" s="1431"/>
      <c r="E38" s="1431"/>
      <c r="F38" s="1431"/>
      <c r="G38" s="1431"/>
      <c r="H38" s="1431"/>
      <c r="I38" s="1431"/>
      <c r="J38" s="1431"/>
      <c r="K38" s="1431"/>
      <c r="L38" s="1431"/>
      <c r="M38" s="1431"/>
      <c r="N38" s="1431"/>
      <c r="O38" s="1429"/>
      <c r="Q38" s="1279"/>
      <c r="R38" s="1006"/>
      <c r="S38" s="1006"/>
      <c r="T38" s="1006"/>
      <c r="U38" s="1006"/>
      <c r="V38" s="1006"/>
      <c r="W38" s="1006"/>
      <c r="X38" s="1006"/>
      <c r="Y38" s="1006"/>
      <c r="Z38" s="1006"/>
      <c r="AA38" s="1006"/>
      <c r="AB38" s="1006"/>
      <c r="AC38" s="1006"/>
      <c r="AD38" s="1006"/>
      <c r="AE38" s="1006"/>
      <c r="AF38" s="1006"/>
      <c r="AG38" s="1006"/>
      <c r="AH38" s="1006"/>
      <c r="AI38" s="1006"/>
      <c r="AJ38" s="1006"/>
      <c r="AK38" s="1006"/>
      <c r="AL38" s="1006"/>
      <c r="AM38" s="1006"/>
      <c r="AN38" s="1006"/>
      <c r="AO38" s="1006"/>
      <c r="AP38" s="1006"/>
      <c r="AQ38" s="1006"/>
      <c r="AR38" s="1006"/>
      <c r="AS38" s="1006"/>
      <c r="AT38" s="1006"/>
      <c r="AU38" s="1006"/>
      <c r="AV38" s="1006"/>
      <c r="AW38" s="1006"/>
      <c r="AX38" s="1006"/>
      <c r="AY38" s="1006"/>
      <c r="AZ38" s="1006"/>
      <c r="BA38" s="1006"/>
      <c r="BB38" s="1006"/>
      <c r="BC38" s="1006"/>
      <c r="BD38" s="1006"/>
      <c r="BE38" s="1006"/>
      <c r="BF38" s="1006"/>
      <c r="BG38" s="1006"/>
      <c r="BH38" s="1006"/>
      <c r="BI38" s="1006"/>
      <c r="BJ38" s="1006"/>
      <c r="BK38" s="1006"/>
      <c r="BL38" s="1006"/>
      <c r="BM38" s="1006"/>
      <c r="BN38" s="1006"/>
      <c r="BO38" s="1006"/>
      <c r="BP38" s="1006"/>
      <c r="BQ38" s="1006"/>
      <c r="BR38" s="1006"/>
      <c r="BS38" s="1006"/>
      <c r="BT38" s="1006"/>
      <c r="BU38" s="1006"/>
      <c r="BV38" s="1006"/>
      <c r="BW38" s="1006"/>
      <c r="BX38" s="1006"/>
      <c r="BY38" s="1006"/>
      <c r="BZ38" s="1006"/>
      <c r="CA38" s="1006"/>
      <c r="CB38" s="1006"/>
      <c r="CC38" s="1006"/>
      <c r="CD38" s="1006"/>
      <c r="CE38" s="1006"/>
      <c r="CF38" s="1006"/>
      <c r="CG38" s="1006"/>
      <c r="CH38" s="1006"/>
    </row>
    <row r="39" spans="1:87" s="1425" customFormat="1" ht="12.75" customHeight="1">
      <c r="A39" s="1431"/>
      <c r="B39" s="1431"/>
      <c r="C39" s="1431"/>
      <c r="D39" s="1431"/>
      <c r="E39" s="1431"/>
      <c r="F39" s="1431"/>
      <c r="G39" s="1431"/>
      <c r="H39" s="1431"/>
      <c r="I39" s="1431"/>
      <c r="J39" s="1431"/>
      <c r="K39" s="1431"/>
      <c r="L39" s="1431"/>
      <c r="M39" s="1431"/>
      <c r="N39" s="1431"/>
      <c r="O39" s="1429"/>
      <c r="Q39" s="1279"/>
      <c r="R39" s="1006"/>
      <c r="S39" s="1006"/>
      <c r="T39" s="1006"/>
      <c r="U39" s="1006"/>
      <c r="V39" s="1006"/>
      <c r="W39" s="1006"/>
      <c r="X39" s="1006"/>
      <c r="Y39" s="1006"/>
      <c r="Z39" s="1006"/>
      <c r="AA39" s="1006"/>
      <c r="AB39" s="1006"/>
      <c r="AC39" s="1006"/>
      <c r="AD39" s="1006"/>
      <c r="AE39" s="1006"/>
      <c r="AF39" s="1006"/>
      <c r="AG39" s="1006"/>
      <c r="AH39" s="1006"/>
      <c r="AI39" s="1006"/>
      <c r="AJ39" s="1006"/>
      <c r="AK39" s="1006"/>
      <c r="AL39" s="1006"/>
      <c r="AM39" s="1006"/>
      <c r="AN39" s="1006"/>
      <c r="AO39" s="1006"/>
      <c r="AP39" s="1006"/>
      <c r="AQ39" s="1006"/>
      <c r="AR39" s="1006"/>
      <c r="AS39" s="1006"/>
      <c r="AT39" s="1006"/>
      <c r="AU39" s="1006"/>
      <c r="AV39" s="1006"/>
      <c r="AW39" s="1006"/>
      <c r="AX39" s="1006"/>
      <c r="AY39" s="1006"/>
      <c r="AZ39" s="1006"/>
      <c r="BA39" s="1006"/>
      <c r="BB39" s="1006"/>
      <c r="BC39" s="1006"/>
      <c r="BD39" s="1006"/>
      <c r="BE39" s="1006"/>
      <c r="BF39" s="1006"/>
      <c r="BG39" s="1006"/>
      <c r="BH39" s="1006"/>
      <c r="BI39" s="1006"/>
      <c r="BJ39" s="1006"/>
      <c r="BK39" s="1006"/>
      <c r="BL39" s="1006"/>
      <c r="BM39" s="1006"/>
      <c r="BN39" s="1006"/>
      <c r="BO39" s="1006"/>
      <c r="BP39" s="1006"/>
      <c r="BQ39" s="1006"/>
      <c r="BR39" s="1006"/>
      <c r="BS39" s="1006"/>
      <c r="BT39" s="1006"/>
      <c r="BU39" s="1006"/>
      <c r="BV39" s="1006"/>
      <c r="BW39" s="1006"/>
      <c r="BX39" s="1006"/>
      <c r="BY39" s="1006"/>
      <c r="BZ39" s="1006"/>
      <c r="CA39" s="1006"/>
      <c r="CB39" s="1006"/>
      <c r="CC39" s="1006"/>
      <c r="CD39" s="1006"/>
      <c r="CE39" s="1006"/>
      <c r="CF39" s="1006"/>
      <c r="CG39" s="1006"/>
      <c r="CH39" s="1006"/>
    </row>
    <row r="40" spans="1:87" s="1425" customFormat="1" ht="12.75" customHeight="1">
      <c r="A40" s="1431"/>
      <c r="B40" s="1431"/>
      <c r="C40" s="1431"/>
      <c r="D40" s="1431"/>
      <c r="E40" s="1431"/>
      <c r="F40" s="1431"/>
      <c r="G40" s="1431"/>
      <c r="H40" s="1431"/>
      <c r="I40" s="1431"/>
      <c r="J40" s="1431"/>
      <c r="K40" s="1431"/>
      <c r="L40" s="1431"/>
      <c r="M40" s="1431"/>
      <c r="N40" s="1431"/>
      <c r="O40" s="1429"/>
      <c r="Q40" s="1279"/>
      <c r="R40" s="1006"/>
      <c r="S40" s="1006"/>
      <c r="T40" s="1006"/>
      <c r="U40" s="1006"/>
      <c r="V40" s="1006"/>
      <c r="W40" s="1006"/>
      <c r="X40" s="1006"/>
      <c r="Y40" s="1006"/>
      <c r="Z40" s="1006"/>
      <c r="AA40" s="1006"/>
      <c r="AB40" s="1006"/>
      <c r="AC40" s="1006"/>
      <c r="AD40" s="1006"/>
      <c r="AE40" s="1006"/>
      <c r="AF40" s="1006"/>
      <c r="AG40" s="1006"/>
      <c r="AH40" s="1006"/>
      <c r="AI40" s="1006"/>
      <c r="AJ40" s="1006"/>
      <c r="AK40" s="1006"/>
      <c r="AL40" s="1006"/>
      <c r="AM40" s="1006"/>
      <c r="AN40" s="1006"/>
      <c r="AO40" s="1006"/>
      <c r="AP40" s="1006"/>
      <c r="AQ40" s="1006"/>
      <c r="AR40" s="1006"/>
      <c r="AS40" s="1006"/>
      <c r="AT40" s="1006"/>
      <c r="AU40" s="1006"/>
      <c r="AV40" s="1006"/>
      <c r="AW40" s="1006"/>
      <c r="AX40" s="1006"/>
      <c r="AY40" s="1006"/>
      <c r="AZ40" s="1006"/>
      <c r="BA40" s="1006"/>
      <c r="BB40" s="1006"/>
      <c r="BC40" s="1006"/>
      <c r="BD40" s="1006"/>
      <c r="BE40" s="1006"/>
      <c r="BF40" s="1006"/>
      <c r="BG40" s="1006"/>
      <c r="BH40" s="1006"/>
      <c r="BI40" s="1006"/>
      <c r="BJ40" s="1006"/>
      <c r="BK40" s="1006"/>
      <c r="BL40" s="1006"/>
      <c r="BM40" s="1006"/>
      <c r="BN40" s="1006"/>
      <c r="BO40" s="1006"/>
      <c r="BP40" s="1006"/>
      <c r="BQ40" s="1006"/>
      <c r="BR40" s="1006"/>
      <c r="BS40" s="1006"/>
      <c r="BT40" s="1006"/>
      <c r="BU40" s="1006"/>
      <c r="BV40" s="1006"/>
      <c r="BW40" s="1006"/>
      <c r="BX40" s="1006"/>
      <c r="BY40" s="1006"/>
      <c r="BZ40" s="1006"/>
      <c r="CA40" s="1006"/>
      <c r="CB40" s="1006"/>
      <c r="CC40" s="1006"/>
      <c r="CD40" s="1006"/>
      <c r="CE40" s="1006"/>
      <c r="CF40" s="1006"/>
      <c r="CG40" s="1006"/>
      <c r="CH40" s="1006"/>
    </row>
    <row r="41" spans="1:87" s="1425" customFormat="1" ht="12.75" customHeight="1">
      <c r="A41" s="1431"/>
      <c r="B41" s="1431"/>
      <c r="C41" s="1431"/>
      <c r="D41" s="1431"/>
      <c r="E41" s="1431"/>
      <c r="F41" s="1431"/>
      <c r="G41" s="1431"/>
      <c r="H41" s="1431"/>
      <c r="I41" s="1431"/>
      <c r="J41" s="1431"/>
      <c r="K41" s="1431"/>
      <c r="L41" s="1431"/>
      <c r="M41" s="1431"/>
      <c r="N41" s="1431"/>
      <c r="O41" s="1429"/>
      <c r="Q41" s="1279"/>
      <c r="R41" s="1006"/>
      <c r="S41" s="1006"/>
      <c r="T41" s="1006"/>
      <c r="U41" s="1006"/>
      <c r="V41" s="1006"/>
      <c r="W41" s="1006"/>
      <c r="X41" s="1006"/>
      <c r="Y41" s="1006"/>
      <c r="Z41" s="1006"/>
      <c r="AA41" s="1006"/>
      <c r="AB41" s="1006"/>
      <c r="AC41" s="1006"/>
      <c r="AD41" s="1006"/>
      <c r="AE41" s="1006"/>
      <c r="AF41" s="1006"/>
      <c r="AG41" s="1006"/>
      <c r="AH41" s="1006"/>
      <c r="AI41" s="1006"/>
      <c r="AJ41" s="1006"/>
      <c r="AK41" s="1006"/>
      <c r="AL41" s="1006"/>
      <c r="AM41" s="1006"/>
      <c r="AN41" s="1006"/>
      <c r="AO41" s="1006"/>
      <c r="AP41" s="1006"/>
      <c r="AQ41" s="1006"/>
      <c r="AR41" s="1006"/>
      <c r="AS41" s="1006"/>
      <c r="AT41" s="1006"/>
      <c r="AU41" s="1006"/>
      <c r="AV41" s="1006"/>
      <c r="AW41" s="1006"/>
      <c r="AX41" s="1006"/>
      <c r="AY41" s="1006"/>
      <c r="AZ41" s="1006"/>
      <c r="BA41" s="1006"/>
      <c r="BB41" s="1006"/>
      <c r="BC41" s="1006"/>
      <c r="BD41" s="1006"/>
      <c r="BE41" s="1006"/>
      <c r="BF41" s="1006"/>
      <c r="BG41" s="1006"/>
      <c r="BH41" s="1006"/>
      <c r="BI41" s="1006"/>
      <c r="BJ41" s="1006"/>
      <c r="BK41" s="1006"/>
      <c r="BL41" s="1006"/>
      <c r="BM41" s="1006"/>
      <c r="BN41" s="1006"/>
      <c r="BO41" s="1006"/>
      <c r="BP41" s="1006"/>
      <c r="BQ41" s="1006"/>
      <c r="BR41" s="1006"/>
      <c r="BS41" s="1006"/>
      <c r="BT41" s="1006"/>
      <c r="BU41" s="1006"/>
      <c r="BV41" s="1006"/>
      <c r="BW41" s="1006"/>
      <c r="BX41" s="1006"/>
      <c r="BY41" s="1006"/>
      <c r="BZ41" s="1006"/>
      <c r="CA41" s="1006"/>
      <c r="CB41" s="1006"/>
      <c r="CC41" s="1006"/>
      <c r="CD41" s="1006"/>
      <c r="CE41" s="1006"/>
      <c r="CF41" s="1006"/>
      <c r="CG41" s="1006"/>
      <c r="CH41" s="1006"/>
    </row>
    <row r="42" spans="1:87" s="1425" customFormat="1" ht="12.75" customHeight="1">
      <c r="A42" s="1431"/>
      <c r="B42" s="1431"/>
      <c r="C42" s="1431"/>
      <c r="D42" s="1431"/>
      <c r="E42" s="1431"/>
      <c r="F42" s="1431"/>
      <c r="G42" s="1431"/>
      <c r="H42" s="1431"/>
      <c r="I42" s="1431"/>
      <c r="J42" s="1431"/>
      <c r="K42" s="1431"/>
      <c r="L42" s="1431"/>
      <c r="M42" s="1431"/>
      <c r="N42" s="1431"/>
      <c r="O42" s="1429"/>
      <c r="Q42" s="1279"/>
      <c r="R42" s="1006"/>
      <c r="S42" s="1006"/>
      <c r="T42" s="1006"/>
      <c r="U42" s="1006"/>
      <c r="V42" s="1006"/>
      <c r="W42" s="1006"/>
      <c r="X42" s="1006"/>
      <c r="Y42" s="1006"/>
      <c r="Z42" s="1006"/>
      <c r="AA42" s="1006"/>
      <c r="AB42" s="1006"/>
      <c r="AC42" s="1006"/>
      <c r="AD42" s="1006"/>
      <c r="AE42" s="1006"/>
      <c r="AF42" s="1006"/>
      <c r="AG42" s="1006"/>
      <c r="AH42" s="1006"/>
      <c r="AI42" s="1006"/>
      <c r="AJ42" s="1006"/>
      <c r="AK42" s="1006"/>
      <c r="AL42" s="1006"/>
      <c r="AM42" s="1006"/>
      <c r="AN42" s="1006"/>
      <c r="AO42" s="1006"/>
      <c r="AP42" s="1006"/>
      <c r="AQ42" s="1006"/>
      <c r="AR42" s="1006"/>
      <c r="AS42" s="1006"/>
      <c r="AT42" s="1006"/>
      <c r="AU42" s="1006"/>
      <c r="AV42" s="1006"/>
      <c r="AW42" s="1006"/>
      <c r="AX42" s="1006"/>
      <c r="AY42" s="1006"/>
      <c r="AZ42" s="1006"/>
      <c r="BA42" s="1006"/>
      <c r="BB42" s="1006"/>
      <c r="BC42" s="1006"/>
      <c r="BD42" s="1006"/>
      <c r="BE42" s="1006"/>
      <c r="BF42" s="1006"/>
      <c r="BG42" s="1006"/>
      <c r="BH42" s="1006"/>
      <c r="BI42" s="1006"/>
      <c r="BJ42" s="1006"/>
      <c r="BK42" s="1006"/>
      <c r="BL42" s="1006"/>
      <c r="BM42" s="1006"/>
      <c r="BN42" s="1006"/>
      <c r="BO42" s="1006"/>
      <c r="BP42" s="1006"/>
      <c r="BQ42" s="1006"/>
      <c r="BR42" s="1006"/>
      <c r="BS42" s="1006"/>
      <c r="BT42" s="1006"/>
      <c r="BU42" s="1006"/>
      <c r="BV42" s="1006"/>
      <c r="BW42" s="1006"/>
      <c r="BX42" s="1006"/>
      <c r="BY42" s="1006"/>
      <c r="BZ42" s="1006"/>
      <c r="CA42" s="1006"/>
      <c r="CB42" s="1006"/>
      <c r="CC42" s="1006"/>
      <c r="CD42" s="1006"/>
      <c r="CE42" s="1006"/>
      <c r="CF42" s="1006"/>
      <c r="CG42" s="1006"/>
      <c r="CH42" s="1006"/>
    </row>
    <row r="43" spans="1:87" s="1425" customFormat="1" ht="12.75" customHeight="1">
      <c r="A43" s="1431"/>
      <c r="B43" s="1431"/>
      <c r="C43" s="1431"/>
      <c r="D43" s="1431"/>
      <c r="E43" s="1431"/>
      <c r="F43" s="1431"/>
      <c r="G43" s="1431"/>
      <c r="H43" s="1431"/>
      <c r="I43" s="1431"/>
      <c r="J43" s="1431"/>
      <c r="K43" s="1431"/>
      <c r="L43" s="1431"/>
      <c r="M43" s="1431"/>
      <c r="N43" s="1431"/>
      <c r="O43" s="1429"/>
      <c r="Q43" s="1279"/>
    </row>
    <row r="44" spans="1:87" s="1425" customFormat="1" ht="12.75" customHeight="1">
      <c r="A44" s="1431"/>
      <c r="B44" s="1431"/>
      <c r="C44" s="1431"/>
      <c r="D44" s="1431"/>
      <c r="E44" s="1431"/>
      <c r="F44" s="1431"/>
      <c r="G44" s="1431"/>
      <c r="H44" s="1431"/>
      <c r="I44" s="1431"/>
      <c r="J44" s="1431"/>
      <c r="K44" s="1431"/>
      <c r="L44" s="1431"/>
      <c r="M44" s="1431"/>
      <c r="N44" s="1431"/>
      <c r="O44" s="1429"/>
      <c r="Q44" s="1279"/>
    </row>
    <row r="45" spans="1:87" ht="12.75" customHeight="1">
      <c r="A45" s="1279"/>
      <c r="B45" s="1279"/>
      <c r="C45" s="1279"/>
      <c r="D45" s="1279"/>
      <c r="E45" s="1279"/>
      <c r="F45" s="1279"/>
      <c r="G45" s="1279"/>
      <c r="H45" s="1279"/>
      <c r="I45" s="1279"/>
      <c r="J45" s="1279"/>
      <c r="K45" s="1279"/>
      <c r="L45" s="1279"/>
      <c r="M45" s="1279"/>
      <c r="N45" s="1279"/>
      <c r="O45" s="1279"/>
      <c r="P45" s="1279"/>
      <c r="R45" s="1425"/>
      <c r="S45" s="1425"/>
      <c r="T45" s="1425"/>
      <c r="U45" s="1425"/>
      <c r="V45" s="1425"/>
      <c r="W45" s="1425"/>
      <c r="X45" s="1425"/>
      <c r="Y45" s="1425"/>
      <c r="Z45" s="1425"/>
      <c r="AA45" s="1425"/>
      <c r="AB45" s="1425"/>
      <c r="AC45" s="1425"/>
      <c r="AD45" s="1425"/>
      <c r="AE45" s="1425"/>
      <c r="AF45" s="1425"/>
      <c r="AG45" s="1425"/>
      <c r="AH45" s="1425"/>
      <c r="AI45" s="1425"/>
      <c r="AJ45" s="1425"/>
      <c r="AK45" s="1425"/>
      <c r="AL45" s="1425"/>
      <c r="AM45" s="1425"/>
      <c r="AN45" s="1425"/>
      <c r="AO45" s="1425"/>
      <c r="AP45" s="1425"/>
      <c r="AQ45" s="1425"/>
      <c r="AR45" s="1425"/>
      <c r="AS45" s="1425"/>
      <c r="AT45" s="1425"/>
      <c r="AU45" s="1425"/>
      <c r="AV45" s="1425"/>
      <c r="AW45" s="1425"/>
      <c r="AX45" s="1425"/>
      <c r="AY45" s="1425"/>
      <c r="AZ45" s="1425"/>
      <c r="BA45" s="1425"/>
      <c r="BB45" s="1425"/>
      <c r="BC45" s="1425"/>
      <c r="BD45" s="1425"/>
      <c r="BE45" s="1425"/>
      <c r="BF45" s="1425"/>
      <c r="BG45" s="1425"/>
      <c r="BH45" s="1425"/>
      <c r="BI45" s="1425"/>
      <c r="BJ45" s="1425"/>
      <c r="BK45" s="1425"/>
      <c r="BL45" s="1425"/>
      <c r="BM45" s="1425"/>
      <c r="BN45" s="1425"/>
      <c r="BO45" s="1425"/>
      <c r="BP45" s="1425"/>
      <c r="BQ45" s="1425"/>
      <c r="BR45" s="1425"/>
      <c r="BS45" s="1425"/>
      <c r="BT45" s="1425"/>
      <c r="BU45" s="1425"/>
      <c r="BV45" s="1425"/>
      <c r="BW45" s="1425"/>
      <c r="BX45" s="1425"/>
      <c r="BY45" s="1425"/>
      <c r="BZ45" s="1425"/>
      <c r="CA45" s="1425"/>
      <c r="CB45" s="1425"/>
      <c r="CC45" s="1425"/>
      <c r="CD45" s="1425"/>
      <c r="CE45" s="1425"/>
      <c r="CF45" s="1425"/>
      <c r="CG45" s="1425"/>
      <c r="CH45" s="1425"/>
      <c r="CI45" s="1425"/>
    </row>
    <row r="46" spans="1:87" ht="15.75" customHeight="1">
      <c r="A46" s="1404"/>
      <c r="B46" s="1424"/>
      <c r="C46" s="1424"/>
      <c r="D46" s="1424"/>
      <c r="E46" s="1424"/>
      <c r="F46" s="1424"/>
      <c r="G46" s="1424"/>
      <c r="H46" s="1424"/>
      <c r="I46" s="1424"/>
      <c r="J46" s="1424"/>
      <c r="K46" s="1424"/>
      <c r="L46" s="1424"/>
      <c r="M46" s="1424"/>
      <c r="N46" s="1424"/>
      <c r="O46" s="1424"/>
      <c r="P46" s="1279"/>
    </row>
    <row r="47" spans="1:87" s="1425" customFormat="1" ht="11.25" customHeight="1">
      <c r="A47" s="1426"/>
      <c r="B47" s="441"/>
      <c r="C47" s="441"/>
      <c r="D47" s="441"/>
      <c r="E47" s="441"/>
      <c r="F47" s="441"/>
      <c r="G47" s="441"/>
      <c r="H47" s="772"/>
      <c r="I47" s="772"/>
      <c r="J47" s="772"/>
      <c r="O47" s="772"/>
      <c r="P47" s="1432" t="s">
        <v>883</v>
      </c>
      <c r="Q47" s="1279"/>
    </row>
    <row r="48" spans="1:87" s="1425" customFormat="1" ht="18" customHeight="1">
      <c r="A48" s="1426"/>
      <c r="B48" s="2542" t="s">
        <v>884</v>
      </c>
      <c r="C48" s="2542"/>
      <c r="D48" s="2542" t="s">
        <v>1093</v>
      </c>
      <c r="E48" s="2542"/>
      <c r="F48" s="2542"/>
      <c r="G48" s="2542"/>
      <c r="H48" s="2794" t="s">
        <v>2134</v>
      </c>
      <c r="I48" s="2794"/>
      <c r="J48" s="2794"/>
      <c r="K48" s="2794"/>
      <c r="L48" s="2794"/>
      <c r="M48" s="2794"/>
      <c r="N48" s="2794"/>
      <c r="O48" s="2803" t="s">
        <v>895</v>
      </c>
      <c r="P48" s="2803" t="s">
        <v>888</v>
      </c>
      <c r="Q48" s="1279"/>
      <c r="S48" s="1425" t="s">
        <v>885</v>
      </c>
    </row>
    <row r="49" spans="1:23" s="1425" customFormat="1" ht="18" customHeight="1">
      <c r="A49" s="1426"/>
      <c r="B49" s="2542"/>
      <c r="C49" s="2542"/>
      <c r="D49" s="472" t="s">
        <v>1095</v>
      </c>
      <c r="E49" s="472" t="s">
        <v>886</v>
      </c>
      <c r="F49" s="472" t="s">
        <v>887</v>
      </c>
      <c r="G49" s="472" t="s">
        <v>888</v>
      </c>
      <c r="H49" s="472" t="s">
        <v>1096</v>
      </c>
      <c r="I49" s="472" t="s">
        <v>889</v>
      </c>
      <c r="J49" s="472" t="s">
        <v>890</v>
      </c>
      <c r="K49" s="472" t="s">
        <v>891</v>
      </c>
      <c r="L49" s="472" t="s">
        <v>892</v>
      </c>
      <c r="M49" s="472" t="s">
        <v>893</v>
      </c>
      <c r="N49" s="472" t="s">
        <v>894</v>
      </c>
      <c r="O49" s="2804"/>
      <c r="P49" s="2804"/>
      <c r="Q49" s="1279"/>
    </row>
    <row r="50" spans="1:23" s="1425" customFormat="1" ht="16.149999999999999" customHeight="1">
      <c r="A50" s="1426"/>
      <c r="B50" s="2795" t="s">
        <v>1079</v>
      </c>
      <c r="C50" s="2284"/>
      <c r="D50" s="2285">
        <f>SUM(D51:D53)</f>
        <v>2076767827.5176895</v>
      </c>
      <c r="E50" s="2285">
        <f>SUM(E51:E53)</f>
        <v>2156845734</v>
      </c>
      <c r="F50" s="2285">
        <f>+E50-D50</f>
        <v>80077906.482310534</v>
      </c>
      <c r="G50" s="2286">
        <f>+E50/D50</f>
        <v>1.0385589113146199</v>
      </c>
      <c r="H50" s="2285">
        <f t="shared" ref="H50:L50" si="2">SUM(H51:H53)</f>
        <v>8357883237.2295485</v>
      </c>
      <c r="I50" s="2285">
        <f t="shared" si="2"/>
        <v>2220058464</v>
      </c>
      <c r="J50" s="2285">
        <f t="shared" si="2"/>
        <v>1961477312</v>
      </c>
      <c r="K50" s="2285">
        <f t="shared" si="2"/>
        <v>2062278609</v>
      </c>
      <c r="L50" s="2285">
        <f t="shared" si="2"/>
        <v>2156845734</v>
      </c>
      <c r="M50" s="2285"/>
      <c r="N50" s="2285"/>
      <c r="O50" s="2287">
        <f>SUM(I50:N50)</f>
        <v>8400660119</v>
      </c>
      <c r="P50" s="2288">
        <f>O50/H50</f>
        <v>1.0051181478080364</v>
      </c>
      <c r="Q50" s="1279"/>
      <c r="S50" s="1425" t="b">
        <f>I50=AC95</f>
        <v>1</v>
      </c>
    </row>
    <row r="51" spans="1:23" s="1425" customFormat="1" ht="16.149999999999999" customHeight="1">
      <c r="A51" s="1426"/>
      <c r="B51" s="2795"/>
      <c r="C51" s="2289" t="s">
        <v>896</v>
      </c>
      <c r="D51" s="2290">
        <f>V91</f>
        <v>1131124801</v>
      </c>
      <c r="E51" s="2290">
        <f>W91</f>
        <v>1177965381</v>
      </c>
      <c r="F51" s="2290">
        <f>+E51-D51</f>
        <v>46840580</v>
      </c>
      <c r="G51" s="2291">
        <f>+E51/D51</f>
        <v>1.0414106206128531</v>
      </c>
      <c r="H51" s="2290">
        <f>X91+Z91+AB91+V91</f>
        <v>4547627542.3000002</v>
      </c>
      <c r="I51" s="2290">
        <f>+AC91</f>
        <v>1259777474</v>
      </c>
      <c r="J51" s="2290">
        <f>+AA91</f>
        <v>1007004751</v>
      </c>
      <c r="K51" s="2290">
        <f>+Y91</f>
        <v>1100520070</v>
      </c>
      <c r="L51" s="2290">
        <f>W91</f>
        <v>1177965381</v>
      </c>
      <c r="M51" s="2290"/>
      <c r="N51" s="2290"/>
      <c r="O51" s="2290">
        <f t="shared" ref="O51:O53" si="3">SUM(I51:N51)</f>
        <v>4545267676</v>
      </c>
      <c r="P51" s="2292">
        <f>O51/H51</f>
        <v>0.99948107748973514</v>
      </c>
      <c r="Q51" s="1279"/>
      <c r="S51" s="1425" t="b">
        <f>I51=AC91</f>
        <v>1</v>
      </c>
    </row>
    <row r="52" spans="1:23" s="1425" customFormat="1" ht="16.149999999999999" customHeight="1">
      <c r="A52" s="1426"/>
      <c r="B52" s="2795"/>
      <c r="C52" s="2289" t="s">
        <v>897</v>
      </c>
      <c r="D52" s="2290">
        <f t="shared" ref="D52:E52" si="4">V92</f>
        <v>899607487.48387098</v>
      </c>
      <c r="E52" s="2290">
        <f t="shared" si="4"/>
        <v>928582470</v>
      </c>
      <c r="F52" s="2290">
        <f>+E52-D52</f>
        <v>28974982.516129017</v>
      </c>
      <c r="G52" s="2291">
        <f>+E52/D52</f>
        <v>1.0322084719383224</v>
      </c>
      <c r="H52" s="2290">
        <f>X92+Z92+AB92+V92</f>
        <v>3659146018.483871</v>
      </c>
      <c r="I52" s="2290">
        <f>+AC92</f>
        <v>917498467</v>
      </c>
      <c r="J52" s="2290">
        <f t="shared" ref="J52:J53" si="5">+AA92</f>
        <v>924153239</v>
      </c>
      <c r="K52" s="2290">
        <f>+Y92</f>
        <v>927074540</v>
      </c>
      <c r="L52" s="2290">
        <f>W92</f>
        <v>928582470</v>
      </c>
      <c r="M52" s="2290"/>
      <c r="N52" s="2290"/>
      <c r="O52" s="2290">
        <f t="shared" si="3"/>
        <v>3697308716</v>
      </c>
      <c r="P52" s="2292">
        <f t="shared" ref="P52:P81" si="6">O52/H52</f>
        <v>1.0104294000084593</v>
      </c>
      <c r="Q52" s="1279"/>
      <c r="S52" s="1425" t="b">
        <f>I52=AC92</f>
        <v>1</v>
      </c>
    </row>
    <row r="53" spans="1:23" s="1425" customFormat="1" ht="16.149999999999999" customHeight="1">
      <c r="A53" s="1427"/>
      <c r="B53" s="2795"/>
      <c r="C53" s="2293" t="s">
        <v>898</v>
      </c>
      <c r="D53" s="2290">
        <f t="shared" ref="D53:E53" si="7">V93</f>
        <v>46035539.033818379</v>
      </c>
      <c r="E53" s="2290">
        <f t="shared" si="7"/>
        <v>50297883</v>
      </c>
      <c r="F53" s="2290">
        <f>+E53-D53</f>
        <v>4262343.966181621</v>
      </c>
      <c r="G53" s="2291">
        <f>+E53/D53</f>
        <v>1.0925881189975952</v>
      </c>
      <c r="H53" s="2290">
        <f>X93+Z93+AB93+V93</f>
        <v>151109676.4456782</v>
      </c>
      <c r="I53" s="2290">
        <f>+AC93</f>
        <v>42782523</v>
      </c>
      <c r="J53" s="2290">
        <f t="shared" si="5"/>
        <v>30319322</v>
      </c>
      <c r="K53" s="2290">
        <f>+Y93</f>
        <v>34683999</v>
      </c>
      <c r="L53" s="2290">
        <f>W93</f>
        <v>50297883</v>
      </c>
      <c r="M53" s="2290"/>
      <c r="N53" s="2290"/>
      <c r="O53" s="2294">
        <f t="shared" si="3"/>
        <v>158083727</v>
      </c>
      <c r="P53" s="2295">
        <f t="shared" si="6"/>
        <v>1.0461522433133452</v>
      </c>
      <c r="Q53" s="1279"/>
      <c r="S53" s="1425" t="b">
        <f>I53=AC93</f>
        <v>1</v>
      </c>
    </row>
    <row r="54" spans="1:23" s="1425" customFormat="1" ht="16.149999999999999" customHeight="1">
      <c r="A54" s="1427"/>
      <c r="B54" s="2296" t="s">
        <v>1081</v>
      </c>
      <c r="C54" s="2297"/>
      <c r="D54" s="2298">
        <f>SUM(D55:D68,D73:D75)</f>
        <v>1094296135.8420238</v>
      </c>
      <c r="E54" s="2299">
        <f>SUM(E55:E68,E73:E75)</f>
        <v>977412020</v>
      </c>
      <c r="F54" s="2298">
        <f>E54-D54</f>
        <v>-116884115.84202385</v>
      </c>
      <c r="G54" s="2300">
        <f>E54/D54</f>
        <v>0.89318785654663257</v>
      </c>
      <c r="H54" s="2299">
        <f>SUM(H55:H68,H73:H75)</f>
        <v>4153307943.0097842</v>
      </c>
      <c r="I54" s="2299">
        <f>SUM(I55:I66)+I68+I73+I75</f>
        <v>1017538738</v>
      </c>
      <c r="J54" s="2299">
        <f t="shared" ref="J54:N54" si="8">SUM(J55:J68,J73:J75)</f>
        <v>1075152994</v>
      </c>
      <c r="K54" s="2299">
        <f t="shared" si="8"/>
        <v>1085371691</v>
      </c>
      <c r="L54" s="2299">
        <f t="shared" si="8"/>
        <v>977412020</v>
      </c>
      <c r="M54" s="2299">
        <f t="shared" si="8"/>
        <v>0</v>
      </c>
      <c r="N54" s="2299">
        <f t="shared" si="8"/>
        <v>0</v>
      </c>
      <c r="O54" s="2298">
        <f>SUM(I54:N54)</f>
        <v>4155475443</v>
      </c>
      <c r="P54" s="2300">
        <f t="shared" si="6"/>
        <v>1.0005218731719288</v>
      </c>
      <c r="Q54" s="1279"/>
      <c r="S54" s="1425" t="b">
        <f t="shared" ref="S54:S78" si="9">I54=AC100</f>
        <v>1</v>
      </c>
      <c r="U54" s="1433"/>
      <c r="V54" s="1433"/>
      <c r="W54" s="1433"/>
    </row>
    <row r="55" spans="1:23" s="1425" customFormat="1" ht="16.149999999999999" customHeight="1">
      <c r="A55" s="1431"/>
      <c r="B55" s="2301" t="s">
        <v>899</v>
      </c>
      <c r="C55" s="2302" t="s">
        <v>900</v>
      </c>
      <c r="D55" s="2294">
        <f>V101</f>
        <v>17500000.000000004</v>
      </c>
      <c r="E55" s="2290">
        <f>W101</f>
        <v>16666667</v>
      </c>
      <c r="F55" s="2294">
        <f>+E55-D55</f>
        <v>-833333.00000000373</v>
      </c>
      <c r="G55" s="2295">
        <f>+E55/D55</f>
        <v>0.95238097142857125</v>
      </c>
      <c r="H55" s="2294">
        <f t="shared" ref="H55:H62" si="10">X101+Z101+AB101+V101</f>
        <v>70000000.000000015</v>
      </c>
      <c r="I55" s="2290">
        <f t="shared" ref="I55:I66" si="11">AC101</f>
        <v>16666667</v>
      </c>
      <c r="J55" s="2290">
        <f>AA101</f>
        <v>16666667</v>
      </c>
      <c r="K55" s="2290">
        <f t="shared" ref="K55:K75" si="12">Y101</f>
        <v>16666667</v>
      </c>
      <c r="L55" s="2290">
        <f>W101</f>
        <v>16666667</v>
      </c>
      <c r="M55" s="2290"/>
      <c r="N55" s="2290"/>
      <c r="O55" s="2294">
        <f>SUM(I55:N55)</f>
        <v>66666668</v>
      </c>
      <c r="P55" s="2295">
        <f t="shared" si="6"/>
        <v>0.95238097142857125</v>
      </c>
      <c r="Q55" s="1279"/>
      <c r="S55" s="1425" t="b">
        <f t="shared" si="9"/>
        <v>1</v>
      </c>
    </row>
    <row r="56" spans="1:23" s="1425" customFormat="1" ht="16.149999999999999" customHeight="1">
      <c r="A56" s="1431"/>
      <c r="B56" s="2303"/>
      <c r="C56" s="2302" t="s">
        <v>901</v>
      </c>
      <c r="D56" s="2294">
        <f t="shared" ref="D56:D75" si="13">V102</f>
        <v>2475000</v>
      </c>
      <c r="E56" s="2290">
        <f t="shared" ref="E56" si="14">W102</f>
        <v>2249999</v>
      </c>
      <c r="F56" s="2294">
        <f t="shared" ref="F56:F75" si="15">+E56-D56</f>
        <v>-225001</v>
      </c>
      <c r="G56" s="2295">
        <f t="shared" ref="G56:G75" si="16">+E56/D56</f>
        <v>0.90909050505050504</v>
      </c>
      <c r="H56" s="2294">
        <f t="shared" si="10"/>
        <v>9900000</v>
      </c>
      <c r="I56" s="2290">
        <f t="shared" si="11"/>
        <v>2249999</v>
      </c>
      <c r="J56" s="2290">
        <f t="shared" ref="J56:J77" si="17">AA102</f>
        <v>2249999</v>
      </c>
      <c r="K56" s="2290">
        <f t="shared" si="12"/>
        <v>2250002</v>
      </c>
      <c r="L56" s="2290">
        <f>W102</f>
        <v>2249999</v>
      </c>
      <c r="M56" s="2290"/>
      <c r="N56" s="2290"/>
      <c r="O56" s="2304">
        <f t="shared" ref="O56:O71" si="18">SUM(I56:N56)</f>
        <v>8999999</v>
      </c>
      <c r="P56" s="2295">
        <f t="shared" si="6"/>
        <v>0.90909080808080811</v>
      </c>
      <c r="Q56" s="1279"/>
      <c r="S56" s="1425" t="b">
        <f t="shared" si="9"/>
        <v>1</v>
      </c>
    </row>
    <row r="57" spans="1:23" s="1425" customFormat="1" ht="16.149999999999999" customHeight="1">
      <c r="A57" s="1431"/>
      <c r="B57" s="2303"/>
      <c r="C57" s="2302" t="s">
        <v>902</v>
      </c>
      <c r="D57" s="2294">
        <f t="shared" si="13"/>
        <v>3062500</v>
      </c>
      <c r="E57" s="2290">
        <f t="shared" ref="E57" si="19">W103</f>
        <v>2916666</v>
      </c>
      <c r="F57" s="2294">
        <f t="shared" si="15"/>
        <v>-145834</v>
      </c>
      <c r="G57" s="2295">
        <f t="shared" si="16"/>
        <v>0.95238073469387752</v>
      </c>
      <c r="H57" s="2294">
        <f t="shared" si="10"/>
        <v>12250000</v>
      </c>
      <c r="I57" s="2290">
        <f t="shared" si="11"/>
        <v>2916666</v>
      </c>
      <c r="J57" s="2290">
        <f t="shared" si="17"/>
        <v>2916666</v>
      </c>
      <c r="K57" s="2290">
        <f t="shared" si="12"/>
        <v>2916668</v>
      </c>
      <c r="L57" s="2290">
        <f>W103</f>
        <v>2916666</v>
      </c>
      <c r="M57" s="2290"/>
      <c r="N57" s="2290"/>
      <c r="O57" s="2304">
        <f t="shared" si="18"/>
        <v>11666666</v>
      </c>
      <c r="P57" s="2295">
        <f t="shared" si="6"/>
        <v>0.95238089795918368</v>
      </c>
      <c r="Q57" s="1279"/>
      <c r="S57" s="1425" t="b">
        <f t="shared" si="9"/>
        <v>1</v>
      </c>
    </row>
    <row r="58" spans="1:23" s="1425" customFormat="1" ht="16.149999999999999" customHeight="1">
      <c r="A58" s="1431"/>
      <c r="B58" s="2303"/>
      <c r="C58" s="2302"/>
      <c r="D58" s="2294">
        <f t="shared" si="13"/>
        <v>0</v>
      </c>
      <c r="E58" s="2290">
        <f t="shared" ref="E58" si="20">W104</f>
        <v>0</v>
      </c>
      <c r="F58" s="2294">
        <f t="shared" si="15"/>
        <v>0</v>
      </c>
      <c r="G58" s="2295"/>
      <c r="H58" s="2294">
        <f t="shared" si="10"/>
        <v>0</v>
      </c>
      <c r="I58" s="2290">
        <f t="shared" si="11"/>
        <v>0</v>
      </c>
      <c r="J58" s="2290">
        <f t="shared" si="17"/>
        <v>0</v>
      </c>
      <c r="K58" s="2290">
        <f t="shared" si="12"/>
        <v>0</v>
      </c>
      <c r="L58" s="2290">
        <f>W104</f>
        <v>0</v>
      </c>
      <c r="M58" s="2290"/>
      <c r="N58" s="2290"/>
      <c r="O58" s="2304">
        <f t="shared" si="18"/>
        <v>0</v>
      </c>
      <c r="P58" s="2295"/>
      <c r="Q58" s="1279"/>
      <c r="S58" s="1425" t="b">
        <f t="shared" si="9"/>
        <v>1</v>
      </c>
    </row>
    <row r="59" spans="1:23" s="1425" customFormat="1" ht="16.149999999999999" customHeight="1">
      <c r="A59" s="1431"/>
      <c r="B59" s="2303" t="s">
        <v>903</v>
      </c>
      <c r="C59" s="2302" t="s">
        <v>904</v>
      </c>
      <c r="D59" s="2294">
        <f t="shared" si="13"/>
        <v>11980866.699999999</v>
      </c>
      <c r="E59" s="2290">
        <f t="shared" ref="E59" si="21">W105</f>
        <v>16602574</v>
      </c>
      <c r="F59" s="2294">
        <f t="shared" si="15"/>
        <v>4621707.3000000007</v>
      </c>
      <c r="G59" s="2295">
        <f>+E59/D59</f>
        <v>1.3857573425802325</v>
      </c>
      <c r="H59" s="2294">
        <f t="shared" si="10"/>
        <v>47387066.700000003</v>
      </c>
      <c r="I59" s="2290">
        <f t="shared" si="11"/>
        <v>17686132</v>
      </c>
      <c r="J59" s="2290">
        <f t="shared" si="17"/>
        <v>40835280</v>
      </c>
      <c r="K59" s="2290">
        <f t="shared" si="12"/>
        <v>16607870</v>
      </c>
      <c r="L59" s="2290">
        <f>W105</f>
        <v>16602574</v>
      </c>
      <c r="M59" s="2290"/>
      <c r="N59" s="2290"/>
      <c r="O59" s="2304">
        <f t="shared" si="18"/>
        <v>91731856</v>
      </c>
      <c r="P59" s="2295">
        <f t="shared" si="6"/>
        <v>1.9357994150754216</v>
      </c>
      <c r="Q59" s="1279"/>
      <c r="S59" s="1425" t="b">
        <f t="shared" si="9"/>
        <v>1</v>
      </c>
    </row>
    <row r="60" spans="1:23" s="1425" customFormat="1" ht="16.149999999999999" customHeight="1">
      <c r="A60" s="1431"/>
      <c r="B60" s="2303"/>
      <c r="C60" s="2302" t="s">
        <v>905</v>
      </c>
      <c r="D60" s="2294">
        <f t="shared" si="13"/>
        <v>180895</v>
      </c>
      <c r="E60" s="2290">
        <f t="shared" ref="E60" si="22">W106</f>
        <v>1400000</v>
      </c>
      <c r="F60" s="2294">
        <f t="shared" si="15"/>
        <v>1219105</v>
      </c>
      <c r="G60" s="2305">
        <f>+E60/D60</f>
        <v>7.7392962768456837</v>
      </c>
      <c r="H60" s="2294">
        <f t="shared" si="10"/>
        <v>2408458.7999999998</v>
      </c>
      <c r="I60" s="2290">
        <f t="shared" si="11"/>
        <v>1400000</v>
      </c>
      <c r="J60" s="2290">
        <f t="shared" si="17"/>
        <v>1400000</v>
      </c>
      <c r="K60" s="2290">
        <f t="shared" si="12"/>
        <v>1400000</v>
      </c>
      <c r="L60" s="2290">
        <f t="shared" ref="L60:L73" si="23">W106</f>
        <v>1400000</v>
      </c>
      <c r="M60" s="2290"/>
      <c r="N60" s="2290"/>
      <c r="O60" s="2304">
        <f t="shared" si="18"/>
        <v>5600000</v>
      </c>
      <c r="P60" s="2295">
        <f t="shared" si="6"/>
        <v>2.32513838310209</v>
      </c>
      <c r="Q60" s="1279"/>
      <c r="S60" s="1425" t="b">
        <f t="shared" si="9"/>
        <v>1</v>
      </c>
    </row>
    <row r="61" spans="1:23" s="1425" customFormat="1" ht="16.149999999999999" customHeight="1">
      <c r="A61" s="1431"/>
      <c r="B61" s="2306"/>
      <c r="C61" s="2307" t="s">
        <v>906</v>
      </c>
      <c r="D61" s="2294">
        <f t="shared" si="13"/>
        <v>3344580</v>
      </c>
      <c r="E61" s="2290">
        <f t="shared" ref="E61" si="24">W107</f>
        <v>4143483</v>
      </c>
      <c r="F61" s="2294">
        <f t="shared" si="15"/>
        <v>798903</v>
      </c>
      <c r="G61" s="2295">
        <f>+E61/D61</f>
        <v>1.2388649695925946</v>
      </c>
      <c r="H61" s="2294">
        <f t="shared" si="10"/>
        <v>13424216</v>
      </c>
      <c r="I61" s="2290">
        <f t="shared" si="11"/>
        <v>3998706</v>
      </c>
      <c r="J61" s="2290">
        <f t="shared" si="17"/>
        <v>4131696</v>
      </c>
      <c r="K61" s="2290">
        <f t="shared" si="12"/>
        <v>3998415</v>
      </c>
      <c r="L61" s="2290">
        <f t="shared" si="23"/>
        <v>4143483</v>
      </c>
      <c r="M61" s="2290"/>
      <c r="N61" s="2290"/>
      <c r="O61" s="2304">
        <f t="shared" si="18"/>
        <v>16272300</v>
      </c>
      <c r="P61" s="2295">
        <f t="shared" si="6"/>
        <v>1.2121601738231864</v>
      </c>
      <c r="Q61" s="1279"/>
      <c r="S61" s="1425" t="b">
        <f t="shared" si="9"/>
        <v>1</v>
      </c>
    </row>
    <row r="62" spans="1:23" s="1425" customFormat="1" ht="16.149999999999999" customHeight="1">
      <c r="A62" s="1431"/>
      <c r="B62" s="2306"/>
      <c r="C62" s="2307" t="s">
        <v>907</v>
      </c>
      <c r="D62" s="2294">
        <f t="shared" si="13"/>
        <v>433537905</v>
      </c>
      <c r="E62" s="2290">
        <f t="shared" ref="E62" si="25">W108</f>
        <v>433558284</v>
      </c>
      <c r="F62" s="2294">
        <f>+E62-D62</f>
        <v>20379</v>
      </c>
      <c r="G62" s="2295">
        <f>+E62/D62</f>
        <v>1.0000470062704205</v>
      </c>
      <c r="H62" s="2294">
        <f t="shared" si="10"/>
        <v>1734151620</v>
      </c>
      <c r="I62" s="2290">
        <f t="shared" si="11"/>
        <v>433558284</v>
      </c>
      <c r="J62" s="2290">
        <f t="shared" si="17"/>
        <v>433558284</v>
      </c>
      <c r="K62" s="2290">
        <f t="shared" si="12"/>
        <v>433558284</v>
      </c>
      <c r="L62" s="2290">
        <f t="shared" si="23"/>
        <v>433558284</v>
      </c>
      <c r="M62" s="2290"/>
      <c r="N62" s="2290"/>
      <c r="O62" s="2304">
        <f t="shared" si="18"/>
        <v>1734233136</v>
      </c>
      <c r="P62" s="2295">
        <f t="shared" si="6"/>
        <v>1.0000470062704205</v>
      </c>
      <c r="Q62" s="1279"/>
      <c r="S62" s="1425" t="b">
        <f t="shared" si="9"/>
        <v>1</v>
      </c>
    </row>
    <row r="63" spans="1:23" s="1425" customFormat="1" ht="16.149999999999999" customHeight="1">
      <c r="A63" s="1431"/>
      <c r="B63" s="2303"/>
      <c r="C63" s="2302" t="s">
        <v>231</v>
      </c>
      <c r="D63" s="2294">
        <f t="shared" si="13"/>
        <v>2247096</v>
      </c>
      <c r="E63" s="2290">
        <f t="shared" ref="E63" si="26">W109</f>
        <v>2464903</v>
      </c>
      <c r="F63" s="2294">
        <f t="shared" si="15"/>
        <v>217807</v>
      </c>
      <c r="G63" s="2295">
        <f>+E63/D63</f>
        <v>1.096928213124851</v>
      </c>
      <c r="H63" s="2294">
        <f t="shared" ref="H63:H75" si="27">X109+Z109+AB109+V109</f>
        <v>8843410</v>
      </c>
      <c r="I63" s="2290">
        <f t="shared" si="11"/>
        <v>2385390</v>
      </c>
      <c r="J63" s="2290">
        <f t="shared" si="17"/>
        <v>2464903</v>
      </c>
      <c r="K63" s="2290">
        <f t="shared" si="12"/>
        <v>2385390</v>
      </c>
      <c r="L63" s="2290">
        <f t="shared" si="23"/>
        <v>2464903</v>
      </c>
      <c r="M63" s="2290"/>
      <c r="N63" s="2290"/>
      <c r="O63" s="2308">
        <f>SUM(I63:N63)</f>
        <v>9700586</v>
      </c>
      <c r="P63" s="2295">
        <f t="shared" si="6"/>
        <v>1.0969282211273705</v>
      </c>
      <c r="Q63" s="1279"/>
      <c r="S63" s="1425" t="b">
        <f t="shared" si="9"/>
        <v>1</v>
      </c>
    </row>
    <row r="64" spans="1:23" s="1425" customFormat="1" ht="16.149999999999999" customHeight="1">
      <c r="A64" s="1431"/>
      <c r="B64" s="2303"/>
      <c r="C64" s="2302"/>
      <c r="D64" s="2294">
        <f t="shared" si="13"/>
        <v>0</v>
      </c>
      <c r="E64" s="2290">
        <f t="shared" ref="E64" si="28">W110</f>
        <v>0</v>
      </c>
      <c r="F64" s="2294">
        <f t="shared" si="15"/>
        <v>0</v>
      </c>
      <c r="G64" s="2295"/>
      <c r="H64" s="2294">
        <f t="shared" si="27"/>
        <v>0</v>
      </c>
      <c r="I64" s="2290">
        <f t="shared" si="11"/>
        <v>0</v>
      </c>
      <c r="J64" s="2290">
        <f t="shared" si="17"/>
        <v>0</v>
      </c>
      <c r="K64" s="2290">
        <f t="shared" si="12"/>
        <v>0</v>
      </c>
      <c r="L64" s="2290">
        <f t="shared" si="23"/>
        <v>0</v>
      </c>
      <c r="M64" s="2294"/>
      <c r="N64" s="2294"/>
      <c r="O64" s="2304">
        <f t="shared" si="18"/>
        <v>0</v>
      </c>
      <c r="P64" s="2295"/>
      <c r="Q64" s="1279"/>
      <c r="S64" s="1425" t="b">
        <f t="shared" si="9"/>
        <v>1</v>
      </c>
    </row>
    <row r="65" spans="1:40" s="1425" customFormat="1" ht="16.149999999999999" customHeight="1">
      <c r="A65" s="1431"/>
      <c r="B65" s="2301" t="s">
        <v>908</v>
      </c>
      <c r="C65" s="2309" t="s">
        <v>232</v>
      </c>
      <c r="D65" s="2294">
        <f t="shared" si="13"/>
        <v>28442430</v>
      </c>
      <c r="E65" s="2290">
        <f t="shared" ref="E65" si="29">W111</f>
        <v>0</v>
      </c>
      <c r="F65" s="2294">
        <f t="shared" si="15"/>
        <v>-28442430</v>
      </c>
      <c r="G65" s="2295">
        <f t="shared" si="16"/>
        <v>0</v>
      </c>
      <c r="H65" s="2294">
        <f t="shared" si="27"/>
        <v>113769720</v>
      </c>
      <c r="I65" s="2290">
        <f t="shared" si="11"/>
        <v>28442430</v>
      </c>
      <c r="J65" s="2290">
        <f t="shared" si="17"/>
        <v>28442430</v>
      </c>
      <c r="K65" s="2290">
        <f t="shared" si="12"/>
        <v>28442430</v>
      </c>
      <c r="L65" s="2290">
        <f t="shared" si="23"/>
        <v>0</v>
      </c>
      <c r="M65" s="2290"/>
      <c r="N65" s="2290"/>
      <c r="O65" s="2304">
        <f t="shared" si="18"/>
        <v>85327290</v>
      </c>
      <c r="P65" s="2295">
        <f t="shared" si="6"/>
        <v>0.75</v>
      </c>
      <c r="Q65" s="1279"/>
      <c r="S65" s="1425" t="b">
        <f t="shared" si="9"/>
        <v>1</v>
      </c>
    </row>
    <row r="66" spans="1:40" s="1425" customFormat="1" ht="16.149999999999999" customHeight="1">
      <c r="A66" s="1431"/>
      <c r="B66" s="2303"/>
      <c r="C66" s="2309" t="s">
        <v>909</v>
      </c>
      <c r="D66" s="2294">
        <f t="shared" si="13"/>
        <v>102577700</v>
      </c>
      <c r="E66" s="2290">
        <f t="shared" ref="E66" si="30">W112</f>
        <v>0</v>
      </c>
      <c r="F66" s="2294">
        <f t="shared" si="15"/>
        <v>-102577700</v>
      </c>
      <c r="G66" s="2295">
        <f>+E66/D66</f>
        <v>0</v>
      </c>
      <c r="H66" s="2294">
        <f t="shared" si="27"/>
        <v>410310800</v>
      </c>
      <c r="I66" s="2290">
        <f t="shared" si="11"/>
        <v>106565400</v>
      </c>
      <c r="J66" s="2290">
        <f t="shared" si="17"/>
        <v>103577700</v>
      </c>
      <c r="K66" s="2290">
        <f t="shared" si="12"/>
        <v>103577700</v>
      </c>
      <c r="L66" s="2290">
        <f t="shared" si="23"/>
        <v>0</v>
      </c>
      <c r="M66" s="2290"/>
      <c r="N66" s="2290"/>
      <c r="O66" s="2304">
        <f t="shared" si="18"/>
        <v>313720800</v>
      </c>
      <c r="P66" s="2295">
        <f t="shared" si="6"/>
        <v>0.7645930840718792</v>
      </c>
      <c r="Q66" s="1279"/>
      <c r="S66" s="1425" t="b">
        <f t="shared" si="9"/>
        <v>1</v>
      </c>
    </row>
    <row r="67" spans="1:40" s="1425" customFormat="1" ht="16.149999999999999" customHeight="1">
      <c r="A67" s="1431"/>
      <c r="B67" s="2303"/>
      <c r="C67" s="2309"/>
      <c r="D67" s="2294">
        <f t="shared" si="13"/>
        <v>0</v>
      </c>
      <c r="E67" s="2290">
        <f t="shared" ref="E67" si="31">W113</f>
        <v>0</v>
      </c>
      <c r="F67" s="2294"/>
      <c r="G67" s="2295"/>
      <c r="H67" s="2294">
        <f t="shared" si="27"/>
        <v>0</v>
      </c>
      <c r="I67" s="2290">
        <f t="shared" ref="I67:I77" si="32">AC113</f>
        <v>0</v>
      </c>
      <c r="J67" s="2290">
        <f t="shared" si="17"/>
        <v>0</v>
      </c>
      <c r="K67" s="2290">
        <f t="shared" si="12"/>
        <v>0</v>
      </c>
      <c r="L67" s="2290">
        <f t="shared" si="23"/>
        <v>0</v>
      </c>
      <c r="M67" s="2290"/>
      <c r="N67" s="2290"/>
      <c r="O67" s="2304"/>
      <c r="P67" s="2295"/>
      <c r="Q67" s="1279"/>
      <c r="S67" s="1425" t="b">
        <f t="shared" si="9"/>
        <v>1</v>
      </c>
    </row>
    <row r="68" spans="1:40" s="1425" customFormat="1" ht="16.149999999999999" customHeight="1">
      <c r="A68" s="1434"/>
      <c r="B68" s="2306"/>
      <c r="C68" s="2302" t="s">
        <v>910</v>
      </c>
      <c r="D68" s="2294">
        <f t="shared" si="13"/>
        <v>405892441.70076692</v>
      </c>
      <c r="E68" s="2290">
        <f t="shared" ref="E68" si="33">W114</f>
        <v>413706309</v>
      </c>
      <c r="F68" s="2294">
        <f t="shared" si="15"/>
        <v>7813867.299233079</v>
      </c>
      <c r="G68" s="2295">
        <f>+E68/D68</f>
        <v>1.0192510786022313</v>
      </c>
      <c r="H68" s="2294">
        <f t="shared" si="27"/>
        <v>1403102480.6518607</v>
      </c>
      <c r="I68" s="2290">
        <f t="shared" si="32"/>
        <v>322403433</v>
      </c>
      <c r="J68" s="2290">
        <f t="shared" si="17"/>
        <v>359653729</v>
      </c>
      <c r="K68" s="2290">
        <f t="shared" si="12"/>
        <v>394312625</v>
      </c>
      <c r="L68" s="2290">
        <f t="shared" si="23"/>
        <v>413706309</v>
      </c>
      <c r="M68" s="2290"/>
      <c r="N68" s="2290"/>
      <c r="O68" s="2294">
        <f>SUM(I68:N68)</f>
        <v>1490076096</v>
      </c>
      <c r="P68" s="2295">
        <f t="shared" si="6"/>
        <v>1.0619866449867101</v>
      </c>
      <c r="Q68" s="1279"/>
      <c r="S68" s="1425" t="b">
        <f t="shared" si="9"/>
        <v>1</v>
      </c>
    </row>
    <row r="69" spans="1:40" s="1436" customFormat="1" ht="16.149999999999999" customHeight="1">
      <c r="A69" s="1435"/>
      <c r="B69" s="2310"/>
      <c r="C69" s="2311" t="s">
        <v>911</v>
      </c>
      <c r="D69" s="2294">
        <f t="shared" si="13"/>
        <v>165913025.42628232</v>
      </c>
      <c r="E69" s="2290">
        <f t="shared" ref="E69" si="34">W115</f>
        <v>196054104</v>
      </c>
      <c r="F69" s="2294">
        <f t="shared" si="15"/>
        <v>30141078.573717684</v>
      </c>
      <c r="G69" s="2295">
        <f>+E69/D69</f>
        <v>1.1816679461800896</v>
      </c>
      <c r="H69" s="2294">
        <f t="shared" si="27"/>
        <v>661652103.42628229</v>
      </c>
      <c r="I69" s="2290">
        <f t="shared" si="32"/>
        <v>213267481</v>
      </c>
      <c r="J69" s="2290">
        <f t="shared" si="17"/>
        <v>229373034</v>
      </c>
      <c r="K69" s="2290">
        <f t="shared" si="12"/>
        <v>211341458</v>
      </c>
      <c r="L69" s="2290">
        <f t="shared" si="23"/>
        <v>196054104</v>
      </c>
      <c r="M69" s="2312"/>
      <c r="N69" s="2312"/>
      <c r="O69" s="2313">
        <f t="shared" si="18"/>
        <v>850036077</v>
      </c>
      <c r="P69" s="2314">
        <f t="shared" si="6"/>
        <v>1.2847175616886806</v>
      </c>
      <c r="R69" s="2327" t="s">
        <v>234</v>
      </c>
      <c r="S69" s="1425" t="b">
        <f t="shared" si="9"/>
        <v>1</v>
      </c>
    </row>
    <row r="70" spans="1:40" s="1436" customFormat="1" ht="16.149999999999999" customHeight="1">
      <c r="A70" s="1435"/>
      <c r="B70" s="2310"/>
      <c r="C70" s="2311" t="s">
        <v>235</v>
      </c>
      <c r="D70" s="2294">
        <f t="shared" si="13"/>
        <v>230406116.2744846</v>
      </c>
      <c r="E70" s="2290">
        <f t="shared" ref="E70" si="35">W116</f>
        <v>215900888</v>
      </c>
      <c r="F70" s="2294">
        <f t="shared" si="15"/>
        <v>-14505228.274484605</v>
      </c>
      <c r="G70" s="2295">
        <f>+E70/D70</f>
        <v>0.93704495128417331</v>
      </c>
      <c r="H70" s="2294">
        <f t="shared" si="27"/>
        <v>679782077.22557867</v>
      </c>
      <c r="I70" s="2290">
        <f t="shared" si="32"/>
        <v>107192506</v>
      </c>
      <c r="J70" s="2290">
        <f t="shared" si="17"/>
        <v>129032313</v>
      </c>
      <c r="K70" s="2290">
        <f t="shared" si="12"/>
        <v>182262445</v>
      </c>
      <c r="L70" s="2290">
        <f t="shared" si="23"/>
        <v>215900888</v>
      </c>
      <c r="M70" s="2312"/>
      <c r="N70" s="2312"/>
      <c r="O70" s="2313">
        <f t="shared" si="18"/>
        <v>634388152</v>
      </c>
      <c r="P70" s="2314">
        <f t="shared" si="6"/>
        <v>0.93322282721714778</v>
      </c>
      <c r="R70" s="2327" t="s">
        <v>912</v>
      </c>
      <c r="S70" s="1425" t="b">
        <f t="shared" si="9"/>
        <v>1</v>
      </c>
    </row>
    <row r="71" spans="1:40" s="1436" customFormat="1" ht="16.149999999999999" customHeight="1">
      <c r="A71" s="1435"/>
      <c r="B71" s="2310"/>
      <c r="C71" s="2315" t="s">
        <v>236</v>
      </c>
      <c r="D71" s="2294">
        <f t="shared" si="13"/>
        <v>9573300</v>
      </c>
      <c r="E71" s="2290">
        <f t="shared" ref="E71" si="36">W117</f>
        <v>1751317</v>
      </c>
      <c r="F71" s="2294">
        <f t="shared" si="15"/>
        <v>-7821983</v>
      </c>
      <c r="G71" s="2295">
        <f>+E71/D71</f>
        <v>0.18293764950435065</v>
      </c>
      <c r="H71" s="2294">
        <f t="shared" si="27"/>
        <v>61668300</v>
      </c>
      <c r="I71" s="2290">
        <f t="shared" si="32"/>
        <v>0</v>
      </c>
      <c r="J71" s="2290">
        <f t="shared" si="17"/>
        <v>1248382</v>
      </c>
      <c r="K71" s="2290">
        <f t="shared" si="12"/>
        <v>708722</v>
      </c>
      <c r="L71" s="2290">
        <f t="shared" si="23"/>
        <v>1751317</v>
      </c>
      <c r="M71" s="2312"/>
      <c r="N71" s="2312"/>
      <c r="O71" s="2313">
        <f t="shared" si="18"/>
        <v>3708421</v>
      </c>
      <c r="P71" s="2314">
        <f t="shared" si="6"/>
        <v>6.0134963992845597E-2</v>
      </c>
      <c r="R71" s="2327" t="s">
        <v>234</v>
      </c>
      <c r="S71" s="1425" t="b">
        <f t="shared" si="9"/>
        <v>1</v>
      </c>
    </row>
    <row r="72" spans="1:40" s="1436" customFormat="1" ht="16.149999999999999" customHeight="1">
      <c r="A72" s="1435"/>
      <c r="B72" s="2310"/>
      <c r="C72" s="2315"/>
      <c r="D72" s="2294">
        <f t="shared" si="13"/>
        <v>0</v>
      </c>
      <c r="E72" s="2290">
        <f t="shared" ref="E72" si="37">W118</f>
        <v>0</v>
      </c>
      <c r="F72" s="2294"/>
      <c r="G72" s="2295"/>
      <c r="H72" s="2294">
        <f t="shared" si="27"/>
        <v>0</v>
      </c>
      <c r="I72" s="2290">
        <f t="shared" si="32"/>
        <v>0</v>
      </c>
      <c r="J72" s="2290">
        <f t="shared" si="17"/>
        <v>0</v>
      </c>
      <c r="K72" s="2290">
        <f t="shared" si="12"/>
        <v>0</v>
      </c>
      <c r="L72" s="2290">
        <f t="shared" si="23"/>
        <v>0</v>
      </c>
      <c r="M72" s="2312"/>
      <c r="N72" s="2312"/>
      <c r="O72" s="2313"/>
      <c r="P72" s="2314"/>
      <c r="R72" s="2327"/>
      <c r="S72" s="1425" t="b">
        <f t="shared" si="9"/>
        <v>1</v>
      </c>
    </row>
    <row r="73" spans="1:40" s="1425" customFormat="1" ht="16.149999999999999" customHeight="1">
      <c r="A73" s="1431"/>
      <c r="B73" s="2303"/>
      <c r="C73" s="2302" t="s">
        <v>237</v>
      </c>
      <c r="D73" s="2294">
        <f t="shared" si="13"/>
        <v>13944640</v>
      </c>
      <c r="E73" s="2290">
        <f t="shared" ref="E73" si="38">W119</f>
        <v>13944640</v>
      </c>
      <c r="F73" s="2294">
        <f t="shared" si="15"/>
        <v>0</v>
      </c>
      <c r="G73" s="2295">
        <f t="shared" si="16"/>
        <v>1</v>
      </c>
      <c r="H73" s="2294">
        <f t="shared" si="27"/>
        <v>55778560</v>
      </c>
      <c r="I73" s="2290">
        <f t="shared" si="32"/>
        <v>13944640</v>
      </c>
      <c r="J73" s="2290">
        <f t="shared" si="17"/>
        <v>13944640</v>
      </c>
      <c r="K73" s="2290">
        <f t="shared" si="12"/>
        <v>13944640</v>
      </c>
      <c r="L73" s="2290">
        <f t="shared" si="23"/>
        <v>13944640</v>
      </c>
      <c r="M73" s="2290"/>
      <c r="N73" s="2290"/>
      <c r="O73" s="2304">
        <f>SUM(I73:N73)</f>
        <v>55778560</v>
      </c>
      <c r="P73" s="2295">
        <f t="shared" si="6"/>
        <v>1</v>
      </c>
      <c r="R73" s="1279"/>
      <c r="S73" s="1425" t="b">
        <f t="shared" si="9"/>
        <v>1</v>
      </c>
    </row>
    <row r="74" spans="1:40" s="1425" customFormat="1" ht="16.149999999999999" customHeight="1">
      <c r="A74" s="1431"/>
      <c r="B74" s="2303"/>
      <c r="C74" s="2302"/>
      <c r="D74" s="2294">
        <f t="shared" si="13"/>
        <v>0</v>
      </c>
      <c r="E74" s="2290">
        <f t="shared" ref="E74" si="39">W120</f>
        <v>0</v>
      </c>
      <c r="F74" s="2294"/>
      <c r="G74" s="2295"/>
      <c r="H74" s="2294">
        <f t="shared" si="27"/>
        <v>0</v>
      </c>
      <c r="I74" s="2290">
        <f t="shared" si="32"/>
        <v>0</v>
      </c>
      <c r="J74" s="2290">
        <f t="shared" si="17"/>
        <v>0</v>
      </c>
      <c r="K74" s="2290">
        <f t="shared" si="12"/>
        <v>0</v>
      </c>
      <c r="L74" s="2290"/>
      <c r="M74" s="2290"/>
      <c r="N74" s="2290"/>
      <c r="O74" s="2304"/>
      <c r="P74" s="2295"/>
      <c r="R74" s="1279"/>
      <c r="S74" s="1425" t="b">
        <f t="shared" si="9"/>
        <v>1</v>
      </c>
    </row>
    <row r="75" spans="1:40" s="1425" customFormat="1" ht="16.149999999999999" customHeight="1">
      <c r="A75" s="1434"/>
      <c r="B75" s="2306"/>
      <c r="C75" s="2316" t="s">
        <v>913</v>
      </c>
      <c r="D75" s="2294">
        <f t="shared" si="13"/>
        <v>69110081.441256836</v>
      </c>
      <c r="E75" s="2290">
        <f t="shared" ref="E75" si="40">W121</f>
        <v>69758495</v>
      </c>
      <c r="F75" s="2294">
        <f t="shared" si="15"/>
        <v>648413.55874316394</v>
      </c>
      <c r="G75" s="2295">
        <f t="shared" si="16"/>
        <v>1.0093823295418094</v>
      </c>
      <c r="H75" s="2294">
        <f t="shared" si="27"/>
        <v>271981610.85792345</v>
      </c>
      <c r="I75" s="2290">
        <f t="shared" si="32"/>
        <v>65320991</v>
      </c>
      <c r="J75" s="2290">
        <f t="shared" si="17"/>
        <v>65311000</v>
      </c>
      <c r="K75" s="2290">
        <f t="shared" si="12"/>
        <v>65311000</v>
      </c>
      <c r="L75" s="2290">
        <f>W121</f>
        <v>69758495</v>
      </c>
      <c r="M75" s="2290"/>
      <c r="N75" s="2290"/>
      <c r="O75" s="2294">
        <f>SUM(I75:N75)</f>
        <v>265701486</v>
      </c>
      <c r="P75" s="2295">
        <f t="shared" si="6"/>
        <v>0.97690974460327018</v>
      </c>
      <c r="R75" s="1279"/>
      <c r="S75" s="1425" t="b">
        <f t="shared" si="9"/>
        <v>1</v>
      </c>
    </row>
    <row r="76" spans="1:40" s="1436" customFormat="1" ht="16.149999999999999" customHeight="1">
      <c r="A76" s="1435"/>
      <c r="B76" s="2317"/>
      <c r="C76" s="2318" t="s">
        <v>914</v>
      </c>
      <c r="D76" s="2319"/>
      <c r="E76" s="2290">
        <f t="shared" ref="E76:E77" si="41">AA122</f>
        <v>0</v>
      </c>
      <c r="F76" s="2319">
        <f ca="1">E76-F76</f>
        <v>0</v>
      </c>
      <c r="G76" s="2314"/>
      <c r="H76" s="2319">
        <v>108337852</v>
      </c>
      <c r="I76" s="2290">
        <f t="shared" si="32"/>
        <v>0</v>
      </c>
      <c r="J76" s="2290">
        <f t="shared" si="17"/>
        <v>0</v>
      </c>
      <c r="K76" s="2319"/>
      <c r="L76" s="2319"/>
      <c r="M76" s="2319"/>
      <c r="N76" s="2319"/>
      <c r="O76" s="2313">
        <v>0</v>
      </c>
      <c r="P76" s="2314">
        <f t="shared" si="6"/>
        <v>0</v>
      </c>
      <c r="R76" s="2327" t="s">
        <v>915</v>
      </c>
      <c r="S76" s="1425" t="b">
        <f t="shared" si="9"/>
        <v>1</v>
      </c>
      <c r="AN76" s="1425"/>
    </row>
    <row r="77" spans="1:40" s="1436" customFormat="1" ht="16.149999999999999" customHeight="1">
      <c r="A77" s="1435"/>
      <c r="B77" s="2317"/>
      <c r="C77" s="2315" t="s">
        <v>916</v>
      </c>
      <c r="D77" s="2319"/>
      <c r="E77" s="2290">
        <f t="shared" si="41"/>
        <v>65311000</v>
      </c>
      <c r="F77" s="2320">
        <f ca="1">E77-F77</f>
        <v>0</v>
      </c>
      <c r="G77" s="2314"/>
      <c r="H77" s="2319">
        <v>272408186</v>
      </c>
      <c r="I77" s="2290">
        <f t="shared" si="32"/>
        <v>65320991</v>
      </c>
      <c r="J77" s="2290">
        <f t="shared" si="17"/>
        <v>65311000</v>
      </c>
      <c r="K77" s="2319"/>
      <c r="L77" s="2319"/>
      <c r="M77" s="2319"/>
      <c r="N77" s="2319"/>
      <c r="O77" s="2313">
        <v>422222420</v>
      </c>
      <c r="P77" s="2314">
        <f t="shared" si="6"/>
        <v>1.5499623054646383</v>
      </c>
      <c r="R77" s="2327" t="s">
        <v>912</v>
      </c>
      <c r="S77" s="1425" t="b">
        <f t="shared" si="9"/>
        <v>1</v>
      </c>
      <c r="AN77" s="1425"/>
    </row>
    <row r="78" spans="1:40" s="1425" customFormat="1" ht="16.149999999999999" customHeight="1">
      <c r="A78" s="1431"/>
      <c r="B78" s="2796" t="s">
        <v>1083</v>
      </c>
      <c r="C78" s="2796"/>
      <c r="D78" s="2321">
        <f>D50-D54</f>
        <v>982471691.67566562</v>
      </c>
      <c r="E78" s="2322">
        <f>E50-E54</f>
        <v>1179433714</v>
      </c>
      <c r="F78" s="2321">
        <f>F50-F54</f>
        <v>196962022.32433438</v>
      </c>
      <c r="G78" s="2323">
        <f>E78/D78</f>
        <v>1.200476027953949</v>
      </c>
      <c r="H78" s="2322">
        <f>H50-H54</f>
        <v>4204575294.2197642</v>
      </c>
      <c r="I78" s="2322">
        <f>I50-I54</f>
        <v>1202519726</v>
      </c>
      <c r="J78" s="2322">
        <f t="shared" ref="J78:N78" si="42">J50-J54</f>
        <v>886324318</v>
      </c>
      <c r="K78" s="2322">
        <f t="shared" si="42"/>
        <v>976906918</v>
      </c>
      <c r="L78" s="2322">
        <f t="shared" si="42"/>
        <v>1179433714</v>
      </c>
      <c r="M78" s="2322">
        <f t="shared" si="42"/>
        <v>0</v>
      </c>
      <c r="N78" s="2322">
        <f t="shared" si="42"/>
        <v>0</v>
      </c>
      <c r="O78" s="2321">
        <f t="shared" ref="O78:O83" si="43">SUM(I78:N78)</f>
        <v>4245184676</v>
      </c>
      <c r="P78" s="2323">
        <f>O78/H78</f>
        <v>1.0096583790129918</v>
      </c>
      <c r="Q78" s="1279"/>
      <c r="R78" s="1437"/>
      <c r="S78" s="1425" t="b">
        <f t="shared" si="9"/>
        <v>1</v>
      </c>
    </row>
    <row r="79" spans="1:40" s="1425" customFormat="1" ht="16.149999999999999" customHeight="1">
      <c r="A79" s="1431"/>
      <c r="B79" s="2790" t="s">
        <v>1084</v>
      </c>
      <c r="C79" s="2293" t="s">
        <v>240</v>
      </c>
      <c r="D79" s="2294">
        <f>V125</f>
        <v>33445804</v>
      </c>
      <c r="E79" s="2294">
        <f>W125</f>
        <v>42440954</v>
      </c>
      <c r="F79" s="2294">
        <f>+E79-D79</f>
        <v>8995150</v>
      </c>
      <c r="G79" s="2295">
        <f>+E79/D79</f>
        <v>1.2689470404120051</v>
      </c>
      <c r="H79" s="2294">
        <f>Z125+X125+AB125+V125</f>
        <v>134242169</v>
      </c>
      <c r="I79" s="2294">
        <f>AC125</f>
        <v>49729764</v>
      </c>
      <c r="J79" s="2294">
        <f>AA125</f>
        <v>51520939</v>
      </c>
      <c r="K79" s="2294">
        <f>Y125</f>
        <v>42934135</v>
      </c>
      <c r="L79" s="2294">
        <f>W125</f>
        <v>42440954</v>
      </c>
      <c r="M79" s="2294"/>
      <c r="N79" s="2294"/>
      <c r="O79" s="2294">
        <f t="shared" si="43"/>
        <v>186625792</v>
      </c>
      <c r="P79" s="2295">
        <f>O79/H79</f>
        <v>1.3902173466818761</v>
      </c>
      <c r="Q79" s="1279"/>
    </row>
    <row r="80" spans="1:40" s="1425" customFormat="1" ht="16.149999999999999" customHeight="1">
      <c r="A80" s="1431"/>
      <c r="B80" s="2790"/>
      <c r="C80" s="2293" t="s">
        <v>241</v>
      </c>
      <c r="D80" s="2294">
        <f>V126</f>
        <v>12481</v>
      </c>
      <c r="E80" s="2294">
        <f t="shared" ref="E80:E82" si="44">W126</f>
        <v>2384</v>
      </c>
      <c r="F80" s="2294">
        <f>+E80-D80</f>
        <v>-10097</v>
      </c>
      <c r="G80" s="2295" t="s">
        <v>917</v>
      </c>
      <c r="H80" s="2294">
        <f>Z126+X126+AB126+V126</f>
        <v>1809708</v>
      </c>
      <c r="I80" s="2294">
        <f>AC126</f>
        <v>2039</v>
      </c>
      <c r="J80" s="2294">
        <f>AA126</f>
        <v>2038</v>
      </c>
      <c r="K80" s="2294">
        <f>Y126</f>
        <v>2480</v>
      </c>
      <c r="L80" s="2294">
        <f>W126</f>
        <v>2384</v>
      </c>
      <c r="M80" s="2294"/>
      <c r="N80" s="2294"/>
      <c r="O80" s="2294">
        <f t="shared" si="43"/>
        <v>8941</v>
      </c>
      <c r="P80" s="2295">
        <f>O80/H80</f>
        <v>4.9405760487327239E-3</v>
      </c>
      <c r="Q80" s="1279"/>
    </row>
    <row r="81" spans="1:186" s="1425" customFormat="1" ht="16.149999999999999" customHeight="1">
      <c r="A81" s="1438"/>
      <c r="B81" s="2790" t="s">
        <v>1085</v>
      </c>
      <c r="C81" s="2293" t="s">
        <v>224</v>
      </c>
      <c r="D81" s="2294">
        <f>V127</f>
        <v>637833333</v>
      </c>
      <c r="E81" s="2294">
        <f t="shared" si="44"/>
        <v>648289614</v>
      </c>
      <c r="F81" s="2294">
        <f>+E81-D81</f>
        <v>10456281</v>
      </c>
      <c r="G81" s="2295">
        <f>+E81/D81</f>
        <v>1.0163934376882118</v>
      </c>
      <c r="H81" s="2294">
        <f>X127+Z127+AB127+V127</f>
        <v>2551333332</v>
      </c>
      <c r="I81" s="2294">
        <f>AC127</f>
        <v>627377046</v>
      </c>
      <c r="J81" s="2294">
        <f>AA127</f>
        <v>648289614</v>
      </c>
      <c r="K81" s="2294">
        <f>Y127</f>
        <v>627377046</v>
      </c>
      <c r="L81" s="2294">
        <f>W127</f>
        <v>648289614</v>
      </c>
      <c r="M81" s="2294"/>
      <c r="N81" s="2294"/>
      <c r="O81" s="2294">
        <f t="shared" si="43"/>
        <v>2551333320</v>
      </c>
      <c r="P81" s="2295">
        <f t="shared" si="6"/>
        <v>0.9999999952965769</v>
      </c>
      <c r="Q81" s="1279"/>
    </row>
    <row r="82" spans="1:186" s="1425" customFormat="1" ht="16.149999999999999" customHeight="1">
      <c r="A82" s="1439"/>
      <c r="B82" s="2790"/>
      <c r="C82" s="2293" t="s">
        <v>242</v>
      </c>
      <c r="D82" s="2294">
        <f>V128</f>
        <v>0</v>
      </c>
      <c r="E82" s="2294">
        <f t="shared" si="44"/>
        <v>0</v>
      </c>
      <c r="F82" s="2294">
        <f>+E82-D82</f>
        <v>0</v>
      </c>
      <c r="G82" s="2295" t="s">
        <v>917</v>
      </c>
      <c r="H82" s="2294">
        <f>X128+Z128+AB128+V128</f>
        <v>0</v>
      </c>
      <c r="I82" s="2294">
        <f>AC128</f>
        <v>0</v>
      </c>
      <c r="J82" s="2294">
        <f>AA128</f>
        <v>0</v>
      </c>
      <c r="K82" s="2294">
        <f>Y128</f>
        <v>0</v>
      </c>
      <c r="L82" s="2294">
        <f>W128</f>
        <v>0</v>
      </c>
      <c r="M82" s="2294"/>
      <c r="N82" s="2294"/>
      <c r="O82" s="2294">
        <f t="shared" si="43"/>
        <v>0</v>
      </c>
      <c r="P82" s="2295"/>
      <c r="Q82" s="1279"/>
    </row>
    <row r="83" spans="1:186" s="1425" customFormat="1" ht="16.149999999999999" customHeight="1">
      <c r="A83" s="1427"/>
      <c r="B83" s="2791" t="s">
        <v>918</v>
      </c>
      <c r="C83" s="2791"/>
      <c r="D83" s="2324">
        <f>SUM(D78:D80)-SUM(D81:D82)</f>
        <v>378096643.67566562</v>
      </c>
      <c r="E83" s="2325">
        <f>E78+E79+E80-E81-E82</f>
        <v>573587438</v>
      </c>
      <c r="F83" s="2324">
        <f>D83-E83</f>
        <v>-195490794.32433438</v>
      </c>
      <c r="G83" s="2326">
        <f>E83/D83</f>
        <v>1.5170392215701021</v>
      </c>
      <c r="H83" s="2324">
        <f>(H78+H79+H80)-(H81+H82)</f>
        <v>1789293839.2197647</v>
      </c>
      <c r="I83" s="2324">
        <f>(I78+I79+I80)-(I81+I82)</f>
        <v>624874483</v>
      </c>
      <c r="J83" s="2324">
        <f t="shared" ref="J83:N83" si="45">(J78+J79+J80)-(J81+J82)</f>
        <v>289557681</v>
      </c>
      <c r="K83" s="2324">
        <f t="shared" si="45"/>
        <v>392466487</v>
      </c>
      <c r="L83" s="2324">
        <f t="shared" si="45"/>
        <v>573587438</v>
      </c>
      <c r="M83" s="2324">
        <f t="shared" si="45"/>
        <v>0</v>
      </c>
      <c r="N83" s="2324">
        <f t="shared" si="45"/>
        <v>0</v>
      </c>
      <c r="O83" s="2324">
        <f t="shared" si="43"/>
        <v>1880486089</v>
      </c>
      <c r="P83" s="2326">
        <f>O83/H83</f>
        <v>1.050965496991819</v>
      </c>
      <c r="Q83" s="1279"/>
      <c r="R83" s="1425" t="b">
        <f>E83=W129</f>
        <v>1</v>
      </c>
      <c r="S83" s="1425" t="s">
        <v>919</v>
      </c>
    </row>
    <row r="84" spans="1:186" s="1425" customFormat="1" ht="12.75" customHeight="1">
      <c r="A84" s="1429"/>
      <c r="B84" s="1429"/>
      <c r="C84" s="1429"/>
      <c r="D84" s="1429"/>
      <c r="E84" s="1429"/>
      <c r="F84" s="1429"/>
      <c r="G84" s="1429"/>
      <c r="H84" s="1440"/>
      <c r="K84" s="1429"/>
      <c r="L84" s="1429"/>
      <c r="M84" s="1429"/>
      <c r="N84" s="1429"/>
      <c r="O84" s="1429"/>
      <c r="P84" s="1429"/>
      <c r="Q84" s="1279"/>
    </row>
    <row r="85" spans="1:186" s="1425" customFormat="1" ht="22.9" customHeight="1">
      <c r="A85" s="1429"/>
      <c r="B85" s="2332" t="s">
        <v>2228</v>
      </c>
      <c r="C85" s="2332"/>
      <c r="D85" s="2333">
        <f>(D78+SUM(D55:D57,D59:D60,D62,D79:D80))/10^6</f>
        <v>1484.6671433756658</v>
      </c>
      <c r="E85" s="2333">
        <f t="shared" ref="E85:O85" si="46">(E78+SUM(E55:E57,E59:E60,E62,E79:E80))/10^6</f>
        <v>1695.271242</v>
      </c>
      <c r="F85" s="2333">
        <f t="shared" si="46"/>
        <v>210.6040986243344</v>
      </c>
      <c r="G85" s="2334">
        <f>+E85/D85</f>
        <v>1.1418527375405418</v>
      </c>
      <c r="H85" s="2333">
        <f t="shared" si="46"/>
        <v>6216.7243167197648</v>
      </c>
      <c r="I85" s="2333">
        <f t="shared" si="46"/>
        <v>1726.7292769999999</v>
      </c>
      <c r="J85" s="2333">
        <f t="shared" si="46"/>
        <v>1435.474191</v>
      </c>
      <c r="K85" s="2333">
        <f t="shared" si="46"/>
        <v>1493.2430240000001</v>
      </c>
      <c r="L85" s="2333">
        <f t="shared" si="46"/>
        <v>1695.271242</v>
      </c>
      <c r="M85" s="2333">
        <f t="shared" si="46"/>
        <v>0</v>
      </c>
      <c r="N85" s="2333">
        <f t="shared" si="46"/>
        <v>0</v>
      </c>
      <c r="O85" s="2333">
        <f t="shared" si="46"/>
        <v>6350.7177339999998</v>
      </c>
      <c r="P85" s="2335">
        <f>O85/H85</f>
        <v>1.0215537010254521</v>
      </c>
      <c r="Q85" s="1279"/>
    </row>
    <row r="86" spans="1:186" s="1425" customFormat="1" ht="12.75" customHeight="1">
      <c r="A86" s="1429"/>
      <c r="B86" s="1429"/>
      <c r="C86" s="1429"/>
      <c r="D86" s="1440"/>
      <c r="E86" s="1429"/>
      <c r="F86" s="1429"/>
      <c r="G86" s="1441"/>
      <c r="H86" s="1429"/>
      <c r="I86" s="1429"/>
      <c r="J86" s="1429"/>
      <c r="K86" s="1442"/>
      <c r="L86" s="1442"/>
      <c r="M86" s="1442"/>
      <c r="N86" s="1442"/>
      <c r="O86" s="1429"/>
      <c r="P86" s="1429"/>
      <c r="Q86" s="1279"/>
    </row>
    <row r="87" spans="1:186">
      <c r="D87" s="1440" t="b">
        <f>V129=D83</f>
        <v>1</v>
      </c>
      <c r="E87" s="1440" t="b">
        <f>W129=E83</f>
        <v>1</v>
      </c>
      <c r="H87" s="1440" t="b">
        <f>X129+Z129+AB129+V129=H83</f>
        <v>1</v>
      </c>
      <c r="I87" s="1440" t="b">
        <f>AC129=I83</f>
        <v>1</v>
      </c>
      <c r="J87" s="1440" t="b">
        <f>AA129=J83</f>
        <v>1</v>
      </c>
      <c r="K87" s="1440" t="b">
        <f>Y129=K83</f>
        <v>1</v>
      </c>
      <c r="L87" s="1440" t="b">
        <f>W129=L83</f>
        <v>1</v>
      </c>
      <c r="M87" s="1440"/>
      <c r="N87" s="1440"/>
    </row>
    <row r="88" spans="1:186" outlineLevel="1">
      <c r="B88" s="1443" t="s">
        <v>920</v>
      </c>
      <c r="S88" s="1425"/>
      <c r="T88" s="1425"/>
      <c r="U88" s="1425"/>
      <c r="V88" s="1425"/>
      <c r="W88" s="1425"/>
      <c r="X88" s="1425"/>
      <c r="Y88" s="1425"/>
      <c r="Z88" s="1425"/>
      <c r="AA88" s="1425"/>
      <c r="AB88" s="1425"/>
      <c r="AC88" s="1425"/>
      <c r="AD88" s="1425"/>
      <c r="AE88" s="1425"/>
      <c r="AF88" s="1425"/>
      <c r="AG88" s="1425"/>
      <c r="AH88" s="1425"/>
      <c r="AI88" s="1425"/>
      <c r="AJ88" s="1425"/>
      <c r="AK88" s="1425"/>
      <c r="AL88" s="1425"/>
      <c r="AM88" s="1425"/>
      <c r="AN88" s="1425"/>
      <c r="AO88" s="1425"/>
      <c r="AP88" s="1425"/>
      <c r="AQ88" s="1425"/>
      <c r="AR88" s="1425"/>
      <c r="AS88" s="1425"/>
      <c r="AT88" s="1425"/>
      <c r="AU88" s="1425"/>
      <c r="AV88" s="1425"/>
      <c r="AW88" s="1425"/>
      <c r="AX88" s="1425"/>
      <c r="AY88" s="1425"/>
      <c r="AZ88" s="1425"/>
      <c r="BA88" s="1425"/>
      <c r="BB88" s="1425"/>
      <c r="BC88" s="1425"/>
      <c r="BD88" s="1425"/>
      <c r="BE88" s="1425"/>
      <c r="BF88" s="1425"/>
      <c r="BG88" s="1425"/>
      <c r="BH88" s="1425"/>
      <c r="BI88" s="1425"/>
      <c r="BJ88" s="1425"/>
      <c r="BK88" s="1425"/>
      <c r="BL88" s="1425"/>
      <c r="BM88" s="1425"/>
      <c r="BN88" s="1425"/>
      <c r="BO88" s="1425"/>
      <c r="BP88" s="1425"/>
      <c r="BQ88" s="1425"/>
      <c r="BR88" s="1425"/>
      <c r="BS88" s="1425"/>
      <c r="BT88" s="1425"/>
      <c r="BU88" s="1425"/>
      <c r="BV88" s="1425"/>
      <c r="BW88" s="1425"/>
      <c r="BX88" s="1425"/>
      <c r="BY88" s="1425"/>
      <c r="BZ88" s="1425"/>
      <c r="CA88" s="1425"/>
      <c r="CB88" s="1425"/>
      <c r="CC88" s="1425"/>
      <c r="CD88" s="1425"/>
      <c r="CE88" s="1425"/>
      <c r="CF88" s="1425"/>
      <c r="CG88" s="1425"/>
      <c r="CH88" s="1425"/>
      <c r="CI88" s="1425"/>
      <c r="CJ88" s="1425"/>
      <c r="CK88" s="1425"/>
      <c r="CL88" s="1425"/>
      <c r="CM88" s="1425"/>
      <c r="CN88" s="1425"/>
      <c r="CO88" s="1425"/>
      <c r="CP88" s="1425"/>
      <c r="CQ88" s="1425"/>
      <c r="CR88" s="1425"/>
      <c r="CS88" s="1425"/>
      <c r="CT88" s="1425"/>
      <c r="CU88" s="1425"/>
      <c r="CV88" s="1425"/>
      <c r="CW88" s="1425"/>
      <c r="CX88" s="1425"/>
      <c r="CY88" s="1425"/>
      <c r="CZ88" s="1425"/>
      <c r="DA88" s="1425"/>
      <c r="DB88" s="1425"/>
      <c r="DC88" s="1425"/>
      <c r="DD88" s="1425"/>
      <c r="DE88" s="1425"/>
      <c r="DF88" s="1425"/>
      <c r="DG88" s="1425"/>
      <c r="DH88" s="1425"/>
      <c r="DI88" s="1425"/>
      <c r="DJ88" s="1425"/>
      <c r="DK88" s="1425"/>
      <c r="DL88" s="1425"/>
      <c r="DM88" s="1425"/>
      <c r="DN88" s="1425"/>
      <c r="DO88" s="1425"/>
      <c r="DP88" s="1425"/>
      <c r="DQ88" s="1425"/>
      <c r="DR88" s="1425"/>
      <c r="DS88" s="1425"/>
      <c r="DT88" s="1425"/>
      <c r="DU88" s="1425"/>
      <c r="DV88" s="1425"/>
      <c r="DW88" s="1425"/>
      <c r="DX88" s="1425"/>
      <c r="DY88" s="1425"/>
      <c r="DZ88" s="1425"/>
      <c r="EA88" s="1425"/>
      <c r="EB88" s="1425"/>
      <c r="EC88" s="1425"/>
      <c r="ED88" s="1425"/>
      <c r="EE88" s="1425"/>
      <c r="EF88" s="1425"/>
      <c r="EG88" s="1425"/>
      <c r="EH88" s="1425"/>
      <c r="EI88" s="1425"/>
      <c r="EJ88" s="1425"/>
      <c r="EK88" s="1425"/>
      <c r="EL88" s="1425"/>
      <c r="EM88" s="1425"/>
      <c r="EN88" s="1425"/>
      <c r="EO88" s="1425"/>
      <c r="EP88" s="1425"/>
      <c r="EQ88" s="1425"/>
      <c r="ER88" s="1425"/>
      <c r="ES88" s="1425"/>
      <c r="ET88" s="1425"/>
      <c r="EU88" s="1425"/>
      <c r="EV88" s="1425"/>
      <c r="EW88" s="1425"/>
      <c r="EX88" s="1425"/>
      <c r="EY88" s="1425"/>
      <c r="EZ88" s="1425"/>
      <c r="FA88" s="1425"/>
      <c r="FB88" s="1425"/>
      <c r="FC88" s="1425"/>
      <c r="FD88" s="1425"/>
      <c r="FE88" s="1425"/>
      <c r="FF88" s="1425"/>
      <c r="FG88" s="1425"/>
      <c r="FH88" s="1425"/>
      <c r="FI88" s="1425"/>
      <c r="FJ88" s="1425"/>
      <c r="FK88" s="1425"/>
      <c r="FL88" s="1425"/>
      <c r="FM88" s="1425"/>
      <c r="FN88" s="1425"/>
      <c r="FO88" s="1425"/>
      <c r="FP88" s="1425"/>
    </row>
    <row r="89" spans="1:186" outlineLevel="1">
      <c r="S89" s="1444" t="s">
        <v>206</v>
      </c>
      <c r="T89" s="2787" t="s">
        <v>921</v>
      </c>
      <c r="U89" s="2787"/>
      <c r="V89" s="2792" t="s">
        <v>2147</v>
      </c>
      <c r="W89" s="2793"/>
      <c r="X89" s="2792" t="s">
        <v>2030</v>
      </c>
      <c r="Y89" s="2793"/>
      <c r="Z89" s="2781" t="s">
        <v>1689</v>
      </c>
      <c r="AA89" s="2783"/>
      <c r="AB89" s="2801" t="s">
        <v>1688</v>
      </c>
      <c r="AC89" s="2802"/>
      <c r="AD89" s="2781" t="s">
        <v>923</v>
      </c>
      <c r="AE89" s="2783"/>
      <c r="AF89" s="2781" t="s">
        <v>924</v>
      </c>
      <c r="AG89" s="2783"/>
      <c r="AH89" s="2781" t="s">
        <v>518</v>
      </c>
      <c r="AI89" s="2783"/>
      <c r="AJ89" s="2781" t="s">
        <v>517</v>
      </c>
      <c r="AK89" s="2783"/>
      <c r="AL89" s="2781" t="s">
        <v>511</v>
      </c>
      <c r="AM89" s="2783"/>
      <c r="AN89" s="2781" t="s">
        <v>508</v>
      </c>
      <c r="AO89" s="2783"/>
      <c r="AP89" s="2781" t="s">
        <v>505</v>
      </c>
      <c r="AQ89" s="2783"/>
      <c r="AR89" s="2781" t="s">
        <v>504</v>
      </c>
      <c r="AS89" s="2783"/>
      <c r="AT89" s="2781" t="s">
        <v>925</v>
      </c>
      <c r="AU89" s="2783"/>
      <c r="AV89" s="2781" t="s">
        <v>926</v>
      </c>
      <c r="AW89" s="2783"/>
      <c r="AX89" s="2781" t="s">
        <v>927</v>
      </c>
      <c r="AY89" s="2783"/>
      <c r="AZ89" s="2781" t="s">
        <v>928</v>
      </c>
      <c r="BA89" s="2783"/>
      <c r="BB89" s="2781" t="s">
        <v>929</v>
      </c>
      <c r="BC89" s="2783"/>
      <c r="BD89" s="2781" t="s">
        <v>930</v>
      </c>
      <c r="BE89" s="2783"/>
      <c r="BF89" s="2781" t="s">
        <v>931</v>
      </c>
      <c r="BG89" s="2783"/>
      <c r="BH89" s="2781" t="s">
        <v>932</v>
      </c>
      <c r="BI89" s="2783"/>
      <c r="BJ89" s="2781" t="s">
        <v>933</v>
      </c>
      <c r="BK89" s="2783"/>
      <c r="BL89" s="2781" t="s">
        <v>934</v>
      </c>
      <c r="BM89" s="2783"/>
      <c r="BN89" s="2781" t="s">
        <v>935</v>
      </c>
      <c r="BO89" s="2783"/>
      <c r="BP89" s="2781" t="s">
        <v>936</v>
      </c>
      <c r="BQ89" s="2783"/>
      <c r="BR89" s="2781" t="s">
        <v>937</v>
      </c>
      <c r="BS89" s="2783"/>
      <c r="BT89" s="2781" t="s">
        <v>938</v>
      </c>
      <c r="BU89" s="2783"/>
      <c r="BV89" s="2781" t="s">
        <v>939</v>
      </c>
      <c r="BW89" s="2782"/>
      <c r="BX89" s="2781" t="s">
        <v>940</v>
      </c>
      <c r="BY89" s="2782"/>
      <c r="BZ89" s="2781" t="s">
        <v>799</v>
      </c>
      <c r="CA89" s="2782"/>
      <c r="CB89" s="2781" t="s">
        <v>941</v>
      </c>
      <c r="CC89" s="2782"/>
      <c r="CD89" s="2781" t="s">
        <v>942</v>
      </c>
      <c r="CE89" s="2782"/>
      <c r="CF89" s="2781" t="s">
        <v>943</v>
      </c>
      <c r="CG89" s="2782"/>
      <c r="CH89" s="2781" t="s">
        <v>944</v>
      </c>
      <c r="CI89" s="2782"/>
      <c r="CJ89" s="2781" t="s">
        <v>945</v>
      </c>
      <c r="CK89" s="2782"/>
      <c r="CL89" s="2781" t="s">
        <v>946</v>
      </c>
      <c r="CM89" s="2782"/>
      <c r="CN89" s="2781" t="s">
        <v>947</v>
      </c>
      <c r="CO89" s="2782"/>
      <c r="CP89" s="2781" t="s">
        <v>948</v>
      </c>
      <c r="CQ89" s="2782"/>
      <c r="CR89" s="2781" t="s">
        <v>949</v>
      </c>
      <c r="CS89" s="2782"/>
      <c r="CT89" s="2781" t="s">
        <v>950</v>
      </c>
      <c r="CU89" s="2782"/>
      <c r="CV89" s="2781" t="s">
        <v>951</v>
      </c>
      <c r="CW89" s="2782"/>
      <c r="CX89" s="2781" t="s">
        <v>952</v>
      </c>
      <c r="CY89" s="2782"/>
      <c r="CZ89" s="2781" t="s">
        <v>953</v>
      </c>
      <c r="DA89" s="2782"/>
      <c r="DB89" s="2781" t="s">
        <v>954</v>
      </c>
      <c r="DC89" s="2782"/>
      <c r="DD89" s="2781" t="s">
        <v>955</v>
      </c>
      <c r="DE89" s="2782"/>
      <c r="DF89" s="2781" t="s">
        <v>956</v>
      </c>
      <c r="DG89" s="2782"/>
      <c r="DH89" s="2781" t="s">
        <v>957</v>
      </c>
      <c r="DI89" s="2782"/>
      <c r="DJ89" s="2781" t="s">
        <v>958</v>
      </c>
      <c r="DK89" s="2782"/>
      <c r="DL89" s="2781" t="s">
        <v>959</v>
      </c>
      <c r="DM89" s="2782"/>
      <c r="DN89" s="2781" t="s">
        <v>960</v>
      </c>
      <c r="DO89" s="2782"/>
      <c r="DP89" s="2781" t="s">
        <v>961</v>
      </c>
      <c r="DQ89" s="2782"/>
      <c r="DR89" s="2781" t="s">
        <v>962</v>
      </c>
      <c r="DS89" s="2782"/>
      <c r="DT89" s="2781" t="s">
        <v>963</v>
      </c>
      <c r="DU89" s="2782"/>
      <c r="DV89" s="2781" t="s">
        <v>964</v>
      </c>
      <c r="DW89" s="2782"/>
      <c r="DX89" s="2781" t="s">
        <v>823</v>
      </c>
      <c r="DY89" s="2782"/>
      <c r="DZ89" s="2781" t="s">
        <v>824</v>
      </c>
      <c r="EA89" s="2782"/>
      <c r="EB89" s="2781" t="s">
        <v>966</v>
      </c>
      <c r="EC89" s="2782"/>
      <c r="ED89" s="2781" t="s">
        <v>825</v>
      </c>
      <c r="EE89" s="2782"/>
      <c r="EF89" s="2781" t="s">
        <v>826</v>
      </c>
      <c r="EG89" s="2782"/>
      <c r="EH89" s="2786">
        <v>2019.09</v>
      </c>
      <c r="EI89" s="2782"/>
      <c r="EJ89" s="2786">
        <v>2019.08</v>
      </c>
      <c r="EK89" s="2782"/>
      <c r="EL89" s="2786">
        <v>2019.07</v>
      </c>
      <c r="EM89" s="2782"/>
      <c r="EN89" s="2786">
        <v>2019.06</v>
      </c>
      <c r="EO89" s="2782"/>
      <c r="EP89" s="2786">
        <v>2019.05</v>
      </c>
      <c r="EQ89" s="2782"/>
      <c r="ER89" s="2786">
        <v>2019.04</v>
      </c>
      <c r="ES89" s="2782"/>
      <c r="ET89" s="2781" t="s">
        <v>967</v>
      </c>
      <c r="EU89" s="2782"/>
      <c r="EV89" s="2781" t="s">
        <v>968</v>
      </c>
      <c r="EW89" s="2782"/>
      <c r="EX89" s="2781" t="s">
        <v>969</v>
      </c>
      <c r="EY89" s="2782"/>
      <c r="EZ89" s="2781" t="s">
        <v>970</v>
      </c>
      <c r="FA89" s="2782"/>
      <c r="FB89" s="2781" t="s">
        <v>829</v>
      </c>
      <c r="FC89" s="2782"/>
      <c r="FD89" s="2781" t="s">
        <v>830</v>
      </c>
      <c r="FE89" s="2782"/>
      <c r="FF89" s="2786">
        <v>2018.09</v>
      </c>
      <c r="FG89" s="2782"/>
      <c r="FH89" s="2786">
        <v>2018.08</v>
      </c>
      <c r="FI89" s="2782"/>
      <c r="FJ89" s="2786">
        <v>2018.07</v>
      </c>
      <c r="FK89" s="2782"/>
      <c r="FL89" s="2786">
        <v>2018.06</v>
      </c>
      <c r="FM89" s="2782"/>
      <c r="FN89" s="2786">
        <v>2018.05</v>
      </c>
      <c r="FO89" s="2782"/>
      <c r="FP89" s="2786">
        <v>2018.04</v>
      </c>
      <c r="FQ89" s="2782"/>
      <c r="FR89" s="2786">
        <v>2018.03</v>
      </c>
      <c r="FS89" s="2782"/>
      <c r="FT89" s="2786">
        <v>2018.02</v>
      </c>
      <c r="FU89" s="2782"/>
      <c r="FV89" s="2786">
        <v>2018.01</v>
      </c>
      <c r="FW89" s="2782"/>
      <c r="FX89" s="2787" t="s">
        <v>243</v>
      </c>
      <c r="FY89" s="2787"/>
      <c r="FZ89" s="2787" t="s">
        <v>244</v>
      </c>
      <c r="GA89" s="2787"/>
      <c r="GB89" s="2788" t="s">
        <v>971</v>
      </c>
      <c r="GC89" s="2787"/>
      <c r="GD89" s="1425"/>
    </row>
    <row r="90" spans="1:186" outlineLevel="1">
      <c r="S90" s="1444"/>
      <c r="T90" s="1444" t="s">
        <v>972</v>
      </c>
      <c r="U90" s="1444" t="s">
        <v>973</v>
      </c>
      <c r="V90" s="1445" t="s">
        <v>972</v>
      </c>
      <c r="W90" s="1445" t="s">
        <v>973</v>
      </c>
      <c r="X90" s="1444" t="s">
        <v>972</v>
      </c>
      <c r="Y90" s="1444" t="s">
        <v>973</v>
      </c>
      <c r="Z90" s="1444" t="s">
        <v>972</v>
      </c>
      <c r="AA90" s="1444" t="s">
        <v>973</v>
      </c>
      <c r="AB90" s="1446" t="s">
        <v>245</v>
      </c>
      <c r="AC90" s="1446" t="s">
        <v>246</v>
      </c>
      <c r="AD90" s="1444" t="s">
        <v>972</v>
      </c>
      <c r="AE90" s="1444" t="s">
        <v>973</v>
      </c>
      <c r="AF90" s="1444" t="s">
        <v>972</v>
      </c>
      <c r="AG90" s="1444" t="s">
        <v>973</v>
      </c>
      <c r="AH90" s="1444" t="s">
        <v>974</v>
      </c>
      <c r="AI90" s="1444" t="s">
        <v>973</v>
      </c>
      <c r="AJ90" s="1444" t="s">
        <v>972</v>
      </c>
      <c r="AK90" s="1444" t="s">
        <v>973</v>
      </c>
      <c r="AL90" s="1444" t="s">
        <v>972</v>
      </c>
      <c r="AM90" s="1444" t="s">
        <v>973</v>
      </c>
      <c r="AN90" s="1444" t="s">
        <v>972</v>
      </c>
      <c r="AO90" s="1444" t="s">
        <v>975</v>
      </c>
      <c r="AP90" s="1444" t="s">
        <v>972</v>
      </c>
      <c r="AQ90" s="1444" t="s">
        <v>973</v>
      </c>
      <c r="AR90" s="1444" t="s">
        <v>972</v>
      </c>
      <c r="AS90" s="1444" t="s">
        <v>975</v>
      </c>
      <c r="AT90" s="1444" t="s">
        <v>972</v>
      </c>
      <c r="AU90" s="1444" t="s">
        <v>975</v>
      </c>
      <c r="AV90" s="1444" t="s">
        <v>972</v>
      </c>
      <c r="AW90" s="1444" t="s">
        <v>975</v>
      </c>
      <c r="AX90" s="1444" t="s">
        <v>972</v>
      </c>
      <c r="AY90" s="1444" t="s">
        <v>973</v>
      </c>
      <c r="AZ90" s="1444" t="s">
        <v>972</v>
      </c>
      <c r="BA90" s="1444" t="s">
        <v>975</v>
      </c>
      <c r="BB90" s="1444" t="s">
        <v>976</v>
      </c>
      <c r="BC90" s="1444" t="s">
        <v>973</v>
      </c>
      <c r="BD90" s="1444" t="s">
        <v>974</v>
      </c>
      <c r="BE90" s="1444" t="s">
        <v>973</v>
      </c>
      <c r="BF90" s="1444" t="s">
        <v>972</v>
      </c>
      <c r="BG90" s="1444" t="s">
        <v>973</v>
      </c>
      <c r="BH90" s="1444" t="s">
        <v>974</v>
      </c>
      <c r="BI90" s="1444" t="s">
        <v>973</v>
      </c>
      <c r="BJ90" s="1444" t="s">
        <v>972</v>
      </c>
      <c r="BK90" s="1444" t="s">
        <v>973</v>
      </c>
      <c r="BL90" s="1444" t="s">
        <v>972</v>
      </c>
      <c r="BM90" s="1444" t="s">
        <v>973</v>
      </c>
      <c r="BN90" s="1444" t="s">
        <v>972</v>
      </c>
      <c r="BO90" s="1444" t="s">
        <v>973</v>
      </c>
      <c r="BP90" s="1444" t="s">
        <v>972</v>
      </c>
      <c r="BQ90" s="1444" t="s">
        <v>973</v>
      </c>
      <c r="BR90" s="1444" t="s">
        <v>972</v>
      </c>
      <c r="BS90" s="1444" t="s">
        <v>973</v>
      </c>
      <c r="BT90" s="1444" t="s">
        <v>974</v>
      </c>
      <c r="BU90" s="1444" t="s">
        <v>973</v>
      </c>
      <c r="BV90" s="1444" t="s">
        <v>972</v>
      </c>
      <c r="BW90" s="1444" t="s">
        <v>973</v>
      </c>
      <c r="BX90" s="1444" t="s">
        <v>972</v>
      </c>
      <c r="BY90" s="1444" t="s">
        <v>977</v>
      </c>
      <c r="BZ90" s="1444" t="s">
        <v>976</v>
      </c>
      <c r="CA90" s="1444" t="s">
        <v>973</v>
      </c>
      <c r="CB90" s="1444" t="s">
        <v>972</v>
      </c>
      <c r="CC90" s="1444" t="s">
        <v>973</v>
      </c>
      <c r="CD90" s="1444" t="s">
        <v>972</v>
      </c>
      <c r="CE90" s="1444" t="s">
        <v>973</v>
      </c>
      <c r="CF90" s="1444" t="s">
        <v>974</v>
      </c>
      <c r="CG90" s="1444" t="s">
        <v>973</v>
      </c>
      <c r="CH90" s="1444" t="s">
        <v>972</v>
      </c>
      <c r="CI90" s="1444" t="s">
        <v>975</v>
      </c>
      <c r="CJ90" s="1444" t="s">
        <v>972</v>
      </c>
      <c r="CK90" s="1444" t="s">
        <v>977</v>
      </c>
      <c r="CL90" s="1444" t="s">
        <v>972</v>
      </c>
      <c r="CM90" s="1444" t="s">
        <v>973</v>
      </c>
      <c r="CN90" s="1444" t="s">
        <v>972</v>
      </c>
      <c r="CO90" s="1444" t="s">
        <v>973</v>
      </c>
      <c r="CP90" s="1444" t="s">
        <v>972</v>
      </c>
      <c r="CQ90" s="1444" t="s">
        <v>975</v>
      </c>
      <c r="CR90" s="1444" t="s">
        <v>972</v>
      </c>
      <c r="CS90" s="1444" t="s">
        <v>977</v>
      </c>
      <c r="CT90" s="1444" t="s">
        <v>972</v>
      </c>
      <c r="CU90" s="1444" t="s">
        <v>975</v>
      </c>
      <c r="CV90" s="1444" t="s">
        <v>972</v>
      </c>
      <c r="CW90" s="1444" t="s">
        <v>973</v>
      </c>
      <c r="CX90" s="1444" t="s">
        <v>972</v>
      </c>
      <c r="CY90" s="1444" t="s">
        <v>973</v>
      </c>
      <c r="CZ90" s="1444" t="s">
        <v>972</v>
      </c>
      <c r="DA90" s="1444" t="s">
        <v>975</v>
      </c>
      <c r="DB90" s="1444" t="s">
        <v>972</v>
      </c>
      <c r="DC90" s="1444" t="s">
        <v>973</v>
      </c>
      <c r="DD90" s="1444" t="s">
        <v>972</v>
      </c>
      <c r="DE90" s="1444" t="s">
        <v>973</v>
      </c>
      <c r="DF90" s="1444" t="s">
        <v>974</v>
      </c>
      <c r="DG90" s="1444" t="s">
        <v>973</v>
      </c>
      <c r="DH90" s="1444" t="s">
        <v>972</v>
      </c>
      <c r="DI90" s="1444" t="s">
        <v>973</v>
      </c>
      <c r="DJ90" s="1444" t="s">
        <v>972</v>
      </c>
      <c r="DK90" s="1444" t="s">
        <v>973</v>
      </c>
      <c r="DL90" s="1444" t="s">
        <v>972</v>
      </c>
      <c r="DM90" s="1444" t="s">
        <v>973</v>
      </c>
      <c r="DN90" s="1444" t="s">
        <v>972</v>
      </c>
      <c r="DO90" s="1444" t="s">
        <v>977</v>
      </c>
      <c r="DP90" s="1444" t="s">
        <v>972</v>
      </c>
      <c r="DQ90" s="1444" t="s">
        <v>973</v>
      </c>
      <c r="DR90" s="1444" t="s">
        <v>972</v>
      </c>
      <c r="DS90" s="1444" t="s">
        <v>973</v>
      </c>
      <c r="DT90" s="1444" t="s">
        <v>972</v>
      </c>
      <c r="DU90" s="1444" t="s">
        <v>973</v>
      </c>
      <c r="DV90" s="1444" t="s">
        <v>972</v>
      </c>
      <c r="DW90" s="1444" t="s">
        <v>973</v>
      </c>
      <c r="DX90" s="1444" t="s">
        <v>972</v>
      </c>
      <c r="DY90" s="1444" t="s">
        <v>973</v>
      </c>
      <c r="DZ90" s="1444" t="s">
        <v>974</v>
      </c>
      <c r="EA90" s="1444" t="s">
        <v>973</v>
      </c>
      <c r="EB90" s="1444" t="s">
        <v>972</v>
      </c>
      <c r="EC90" s="1444" t="s">
        <v>973</v>
      </c>
      <c r="ED90" s="1444" t="s">
        <v>972</v>
      </c>
      <c r="EE90" s="1444" t="s">
        <v>973</v>
      </c>
      <c r="EF90" s="1444" t="s">
        <v>972</v>
      </c>
      <c r="EG90" s="1444" t="s">
        <v>973</v>
      </c>
      <c r="EH90" s="1444" t="s">
        <v>976</v>
      </c>
      <c r="EI90" s="1444" t="s">
        <v>973</v>
      </c>
      <c r="EJ90" s="1444" t="s">
        <v>972</v>
      </c>
      <c r="EK90" s="1444" t="s">
        <v>973</v>
      </c>
      <c r="EL90" s="1444" t="s">
        <v>245</v>
      </c>
      <c r="EM90" s="1444" t="s">
        <v>246</v>
      </c>
      <c r="EN90" s="1444" t="s">
        <v>245</v>
      </c>
      <c r="EO90" s="1444" t="s">
        <v>246</v>
      </c>
      <c r="EP90" s="1444" t="s">
        <v>972</v>
      </c>
      <c r="EQ90" s="1444" t="s">
        <v>973</v>
      </c>
      <c r="ER90" s="1444" t="s">
        <v>972</v>
      </c>
      <c r="ES90" s="1444" t="s">
        <v>973</v>
      </c>
      <c r="ET90" s="1444" t="s">
        <v>972</v>
      </c>
      <c r="EU90" s="1444" t="s">
        <v>973</v>
      </c>
      <c r="EV90" s="1444" t="s">
        <v>972</v>
      </c>
      <c r="EW90" s="1444" t="s">
        <v>975</v>
      </c>
      <c r="EX90" s="1444" t="s">
        <v>972</v>
      </c>
      <c r="EY90" s="1444" t="s">
        <v>973</v>
      </c>
      <c r="EZ90" s="1444" t="s">
        <v>972</v>
      </c>
      <c r="FA90" s="1444" t="s">
        <v>973</v>
      </c>
      <c r="FB90" s="1444" t="s">
        <v>972</v>
      </c>
      <c r="FC90" s="1444" t="s">
        <v>973</v>
      </c>
      <c r="FD90" s="1444" t="s">
        <v>972</v>
      </c>
      <c r="FE90" s="1444" t="s">
        <v>973</v>
      </c>
      <c r="FF90" s="1444" t="s">
        <v>972</v>
      </c>
      <c r="FG90" s="1444" t="s">
        <v>973</v>
      </c>
      <c r="FH90" s="1444" t="s">
        <v>972</v>
      </c>
      <c r="FI90" s="1444" t="s">
        <v>975</v>
      </c>
      <c r="FJ90" s="1444" t="s">
        <v>972</v>
      </c>
      <c r="FK90" s="1444" t="s">
        <v>973</v>
      </c>
      <c r="FL90" s="1444" t="s">
        <v>972</v>
      </c>
      <c r="FM90" s="1444" t="s">
        <v>975</v>
      </c>
      <c r="FN90" s="1444" t="s">
        <v>972</v>
      </c>
      <c r="FO90" s="1444" t="s">
        <v>973</v>
      </c>
      <c r="FP90" s="1444" t="s">
        <v>972</v>
      </c>
      <c r="FQ90" s="1444" t="s">
        <v>973</v>
      </c>
      <c r="FR90" s="1444" t="s">
        <v>972</v>
      </c>
      <c r="FS90" s="1444" t="s">
        <v>975</v>
      </c>
      <c r="FT90" s="1444" t="s">
        <v>972</v>
      </c>
      <c r="FU90" s="1444" t="s">
        <v>977</v>
      </c>
      <c r="FV90" s="1444" t="s">
        <v>972</v>
      </c>
      <c r="FW90" s="1444" t="s">
        <v>973</v>
      </c>
      <c r="FX90" s="1444" t="s">
        <v>972</v>
      </c>
      <c r="FY90" s="1444" t="s">
        <v>973</v>
      </c>
      <c r="FZ90" s="1444" t="s">
        <v>972</v>
      </c>
      <c r="GA90" s="1444" t="s">
        <v>973</v>
      </c>
      <c r="GB90" s="1444" t="s">
        <v>972</v>
      </c>
      <c r="GC90" s="1444" t="s">
        <v>973</v>
      </c>
      <c r="GD90" s="1425"/>
    </row>
    <row r="91" spans="1:186" outlineLevel="1">
      <c r="S91" s="1447" t="s">
        <v>247</v>
      </c>
      <c r="T91" s="1448">
        <f>SUMIF($Z$90:$AO$90,$T$90,Z91:AO91)</f>
        <v>9200386165.2999992</v>
      </c>
      <c r="U91" s="1448">
        <f>SUMIF($Z$90:$AO$90,$U$90,Z91:AO91)</f>
        <v>9279187772</v>
      </c>
      <c r="V91" s="1449">
        <v>1131124801</v>
      </c>
      <c r="W91" s="1449">
        <f>'3-2) 손익계산서(월간)'!D8</f>
        <v>1177965381</v>
      </c>
      <c r="X91" s="1449">
        <v>1159652738</v>
      </c>
      <c r="Y91" s="1449">
        <v>1100520070</v>
      </c>
      <c r="Z91" s="1448">
        <v>1064953907</v>
      </c>
      <c r="AA91" s="1448">
        <v>1007004751</v>
      </c>
      <c r="AB91" s="1450">
        <v>1191896096.3</v>
      </c>
      <c r="AC91" s="1450">
        <v>1259777474</v>
      </c>
      <c r="AD91" s="1448">
        <v>1114734342</v>
      </c>
      <c r="AE91" s="1448">
        <v>1181463826</v>
      </c>
      <c r="AF91" s="1448">
        <v>972370959</v>
      </c>
      <c r="AG91" s="1448">
        <v>972375031</v>
      </c>
      <c r="AH91" s="1448">
        <v>1273199126</v>
      </c>
      <c r="AI91" s="1448">
        <v>1275618738</v>
      </c>
      <c r="AJ91" s="1448">
        <v>1277253969</v>
      </c>
      <c r="AK91" s="1448">
        <v>1276970186</v>
      </c>
      <c r="AL91" s="1448">
        <v>1160804304</v>
      </c>
      <c r="AM91" s="1448">
        <v>1160804304</v>
      </c>
      <c r="AN91" s="1448">
        <v>1145173462</v>
      </c>
      <c r="AO91" s="1448">
        <v>1145173462</v>
      </c>
      <c r="AP91" s="1448">
        <v>1373840277</v>
      </c>
      <c r="AQ91" s="1448">
        <v>1367036920</v>
      </c>
      <c r="AR91" s="1448">
        <v>1117555616</v>
      </c>
      <c r="AS91" s="1448">
        <v>1139124349</v>
      </c>
      <c r="AT91" s="1448">
        <v>1122980762</v>
      </c>
      <c r="AU91" s="1448">
        <v>1136906685</v>
      </c>
      <c r="AV91" s="1448">
        <v>865737627</v>
      </c>
      <c r="AW91" s="1448">
        <v>853646824</v>
      </c>
      <c r="AX91" s="1448">
        <v>963287488</v>
      </c>
      <c r="AY91" s="1448">
        <v>983149566</v>
      </c>
      <c r="AZ91" s="1448">
        <v>1144766519</v>
      </c>
      <c r="BA91" s="1448">
        <v>1142267343.5</v>
      </c>
      <c r="BB91" s="1448">
        <v>1020154070</v>
      </c>
      <c r="BC91" s="1448">
        <v>1019637908</v>
      </c>
      <c r="BD91" s="1448">
        <v>1142674163</v>
      </c>
      <c r="BE91" s="1448">
        <v>1140827410</v>
      </c>
      <c r="BF91" s="1448">
        <v>1282381464</v>
      </c>
      <c r="BG91" s="1448">
        <v>1282396542.4516125</v>
      </c>
      <c r="BH91" s="1448">
        <v>1233034128</v>
      </c>
      <c r="BI91" s="1448">
        <v>1226773784.4516129</v>
      </c>
      <c r="BJ91" s="1448">
        <v>1122801948</v>
      </c>
      <c r="BK91" s="1448">
        <v>1122801948</v>
      </c>
      <c r="BL91" s="1448">
        <v>1113454982</v>
      </c>
      <c r="BM91" s="1448">
        <v>1113454983</v>
      </c>
      <c r="BN91" s="1448">
        <v>1361030296</v>
      </c>
      <c r="BO91" s="1448" t="e">
        <f>'3-2) 손익계산서(월간)'!#REF!</f>
        <v>#REF!</v>
      </c>
      <c r="BP91" s="1448">
        <v>1334824243</v>
      </c>
      <c r="BQ91" s="1448">
        <v>1100071412</v>
      </c>
      <c r="BR91" s="1448">
        <v>1272199683</v>
      </c>
      <c r="BS91" s="1448">
        <v>1103782392</v>
      </c>
      <c r="BT91" s="1448">
        <v>1065439421</v>
      </c>
      <c r="BU91" s="1451" t="e">
        <f>'3-2) 손익계산서(월간)'!#REF!</f>
        <v>#REF!</v>
      </c>
      <c r="BV91" s="1448">
        <v>986635104</v>
      </c>
      <c r="BW91" s="1451">
        <f>'3-2) 손익계산서(월간)'!E8</f>
        <v>1100520070</v>
      </c>
      <c r="BX91" s="1448">
        <v>1106543194</v>
      </c>
      <c r="BY91" s="1451">
        <v>1104077590</v>
      </c>
      <c r="BZ91" s="1448">
        <v>953890945.25839245</v>
      </c>
      <c r="CA91" s="1448">
        <v>977072275.00000012</v>
      </c>
      <c r="CB91" s="1448">
        <v>1105178677.935812</v>
      </c>
      <c r="CC91" s="1448">
        <v>1103306678</v>
      </c>
      <c r="CD91" s="1448">
        <v>1265729820.22769</v>
      </c>
      <c r="CE91" s="1448">
        <v>1103306678</v>
      </c>
      <c r="CF91" s="1448">
        <v>1217008287.96682</v>
      </c>
      <c r="CG91" s="1448">
        <v>1160455821</v>
      </c>
      <c r="CH91" s="1448">
        <v>1158185506.76934</v>
      </c>
      <c r="CI91" s="1448">
        <v>1087067638</v>
      </c>
      <c r="CJ91" s="1448">
        <v>1094927177.4359999</v>
      </c>
      <c r="CK91" s="1448">
        <v>1029332995.9680699</v>
      </c>
      <c r="CL91" s="1448">
        <v>1206169386.8951299</v>
      </c>
      <c r="CM91" s="1448">
        <v>1206276061</v>
      </c>
      <c r="CN91" s="1448">
        <v>1061994143</v>
      </c>
      <c r="CO91" s="1448">
        <v>1042451293</v>
      </c>
      <c r="CP91" s="1448">
        <v>1021716143</v>
      </c>
      <c r="CQ91" s="1448">
        <v>1004192193</v>
      </c>
      <c r="CR91" s="1448">
        <v>742535261.9666667</v>
      </c>
      <c r="CS91" s="1448">
        <v>719949901</v>
      </c>
      <c r="CT91" s="1448">
        <v>863630475.19354844</v>
      </c>
      <c r="CU91" s="1448">
        <v>807142505</v>
      </c>
      <c r="CV91" s="1448">
        <v>1000981729.6666666</v>
      </c>
      <c r="CW91" s="1448">
        <v>971280459</v>
      </c>
      <c r="CX91" s="1448">
        <v>886832076.51645696</v>
      </c>
      <c r="CY91" s="1448">
        <v>908135906</v>
      </c>
      <c r="CZ91" s="1448">
        <v>1050260754.0003279</v>
      </c>
      <c r="DA91" s="1448">
        <v>1071290427</v>
      </c>
      <c r="DB91" s="1448">
        <v>1143925160.7745214</v>
      </c>
      <c r="DC91" s="1448">
        <v>1164948691.3225803</v>
      </c>
      <c r="DD91" s="1448">
        <v>1134159029.4196827</v>
      </c>
      <c r="DE91" s="1448">
        <v>1134578829</v>
      </c>
      <c r="DF91" s="1448">
        <v>1046746072.0003279</v>
      </c>
      <c r="DG91" s="1448">
        <v>1046746072</v>
      </c>
      <c r="DH91" s="1448">
        <v>973746404.1293602</v>
      </c>
      <c r="DI91" s="1448">
        <v>973746404</v>
      </c>
      <c r="DJ91" s="1448">
        <v>1303198075.3336613</v>
      </c>
      <c r="DK91" s="1448">
        <v>1212635754</v>
      </c>
      <c r="DL91" s="1448">
        <v>1063441225.3333334</v>
      </c>
      <c r="DM91" s="1448">
        <v>1003434973</v>
      </c>
      <c r="DN91" s="1448">
        <v>1086268773.7204301</v>
      </c>
      <c r="DO91" s="1448">
        <v>1035284122.333333</v>
      </c>
      <c r="DP91" s="1448">
        <v>783086108.53333342</v>
      </c>
      <c r="DQ91" s="1448">
        <v>752698971.66666698</v>
      </c>
      <c r="DR91" s="1448">
        <v>881283026.04301071</v>
      </c>
      <c r="DS91" s="1448">
        <v>851347666</v>
      </c>
      <c r="DT91" s="1448">
        <v>1029986463.3333334</v>
      </c>
      <c r="DU91" s="1448">
        <v>983881884</v>
      </c>
      <c r="DV91" s="1448">
        <v>1138914299.0325861</v>
      </c>
      <c r="DW91" s="1448">
        <v>1085575159</v>
      </c>
      <c r="DX91" s="1448">
        <v>1056882709.3106728</v>
      </c>
      <c r="DY91" s="1448">
        <v>1052601293</v>
      </c>
      <c r="DZ91" s="1448">
        <v>1145895393.8712959</v>
      </c>
      <c r="EA91" s="1448">
        <v>1141605254</v>
      </c>
      <c r="EB91" s="1448">
        <v>874742025.8067795</v>
      </c>
      <c r="EC91" s="1448">
        <v>879977456</v>
      </c>
      <c r="ED91" s="1448">
        <v>753065970.00032794</v>
      </c>
      <c r="EE91" s="1448">
        <v>760164237</v>
      </c>
      <c r="EF91" s="1448">
        <v>1093766127.4196827</v>
      </c>
      <c r="EG91" s="1448">
        <v>1100836127</v>
      </c>
      <c r="EH91" s="1448">
        <v>1159293294.2502</v>
      </c>
      <c r="EI91" s="1448">
        <v>1264945337.0000005</v>
      </c>
      <c r="EJ91" s="1448">
        <v>1169621682.7630701</v>
      </c>
      <c r="EK91" s="1448">
        <v>1235956430.0000005</v>
      </c>
      <c r="EL91" s="1448">
        <v>1165101802.7502</v>
      </c>
      <c r="EM91" s="1448">
        <v>1233947912</v>
      </c>
      <c r="EN91" s="1448">
        <v>1049916397.1502</v>
      </c>
      <c r="EO91" s="1448">
        <v>991855963</v>
      </c>
      <c r="EP91" s="1448">
        <v>815036637.64886498</v>
      </c>
      <c r="EQ91" s="1448">
        <v>807131058.33333349</v>
      </c>
      <c r="ER91" s="1448">
        <v>917392811.48209298</v>
      </c>
      <c r="ES91" s="1448">
        <v>875567056</v>
      </c>
      <c r="ET91" s="1448">
        <v>1016563590.93814</v>
      </c>
      <c r="EU91" s="1448">
        <v>955491247</v>
      </c>
      <c r="EV91" s="1448">
        <v>966263365.33813596</v>
      </c>
      <c r="EW91" s="1448">
        <v>907781364</v>
      </c>
      <c r="EX91" s="1448">
        <v>1016699651.98376</v>
      </c>
      <c r="EY91" s="1448">
        <v>989165315</v>
      </c>
      <c r="EZ91" s="1448">
        <v>657935357.94281197</v>
      </c>
      <c r="FA91" s="1448">
        <v>611626857</v>
      </c>
      <c r="FB91" s="1448">
        <v>1031301636.75262</v>
      </c>
      <c r="FC91" s="1448">
        <v>999648644</v>
      </c>
      <c r="FD91" s="1448">
        <v>1109693943.6800001</v>
      </c>
      <c r="FE91" s="1448">
        <v>958451676</v>
      </c>
      <c r="FF91" s="1448">
        <v>1243822364.8250699</v>
      </c>
      <c r="FG91" s="1448">
        <v>1145911277</v>
      </c>
      <c r="FH91" s="1448">
        <v>1219326209.22507</v>
      </c>
      <c r="FI91" s="1448">
        <v>1145306970</v>
      </c>
      <c r="FJ91" s="1448">
        <v>1247222718.2732501</v>
      </c>
      <c r="FK91" s="1448">
        <v>1141885370</v>
      </c>
      <c r="FL91" s="1448">
        <v>1243877745.2670701</v>
      </c>
      <c r="FM91" s="1448">
        <v>1079050453</v>
      </c>
      <c r="FN91" s="1448">
        <v>1073094501.71083</v>
      </c>
      <c r="FO91" s="1448">
        <v>916894640</v>
      </c>
      <c r="FP91" s="1448">
        <v>1104592803.6469901</v>
      </c>
      <c r="FQ91" s="1448">
        <v>973640760</v>
      </c>
      <c r="FR91" s="1448">
        <v>1140878156.7288001</v>
      </c>
      <c r="FS91" s="1448">
        <v>1036653880</v>
      </c>
      <c r="FT91" s="1448">
        <v>1033830771.7288001</v>
      </c>
      <c r="FU91" s="1448">
        <v>995565450</v>
      </c>
      <c r="FV91" s="1452">
        <v>1074385504.7288001</v>
      </c>
      <c r="FW91" s="1452">
        <v>1075983670</v>
      </c>
      <c r="FX91" s="1448">
        <v>742983794.72880006</v>
      </c>
      <c r="FY91" s="1448">
        <v>764653710</v>
      </c>
      <c r="FZ91" s="1448">
        <v>801134656.66666698</v>
      </c>
      <c r="GA91" s="1448">
        <v>811132000</v>
      </c>
      <c r="GB91" s="1448"/>
      <c r="GC91" s="1448"/>
    </row>
    <row r="92" spans="1:186" outlineLevel="1">
      <c r="S92" s="1453" t="s">
        <v>248</v>
      </c>
      <c r="T92" s="1448">
        <f>SUMIF($Z$90:$AO$90,$T$90,Z92:AO92)</f>
        <v>7298247705</v>
      </c>
      <c r="U92" s="1448">
        <f>SUMIF($Z$90:$AO$90,$U$90,Z92:AO92)</f>
        <v>7307311041</v>
      </c>
      <c r="V92" s="1449">
        <v>899607487.48387098</v>
      </c>
      <c r="W92" s="1449">
        <f>'3-2) 손익계산서(월간)'!D9</f>
        <v>928582470</v>
      </c>
      <c r="X92" s="1449">
        <v>924028257</v>
      </c>
      <c r="Y92" s="1449">
        <v>927074540</v>
      </c>
      <c r="Z92" s="1448">
        <v>920644170</v>
      </c>
      <c r="AA92" s="1448">
        <v>924153239</v>
      </c>
      <c r="AB92" s="1450">
        <v>914866104</v>
      </c>
      <c r="AC92" s="1450">
        <v>917498467</v>
      </c>
      <c r="AD92" s="1448">
        <v>918362116</v>
      </c>
      <c r="AE92" s="1448">
        <v>921281312</v>
      </c>
      <c r="AF92" s="1448">
        <v>915871796</v>
      </c>
      <c r="AG92" s="1448">
        <v>915874505</v>
      </c>
      <c r="AH92" s="1448">
        <v>915083209</v>
      </c>
      <c r="AI92" s="1448">
        <v>915083209</v>
      </c>
      <c r="AJ92" s="1448">
        <v>909460010</v>
      </c>
      <c r="AK92" s="1448">
        <v>909460009</v>
      </c>
      <c r="AL92" s="1448">
        <v>906866433</v>
      </c>
      <c r="AM92" s="1448">
        <v>906866433</v>
      </c>
      <c r="AN92" s="1448">
        <v>897093867</v>
      </c>
      <c r="AO92" s="1448">
        <v>897093867</v>
      </c>
      <c r="AP92" s="1448">
        <v>889119191</v>
      </c>
      <c r="AQ92" s="1448">
        <v>901193869.99999976</v>
      </c>
      <c r="AR92" s="1448">
        <v>864253851</v>
      </c>
      <c r="AS92" s="1448">
        <v>903600669.99999976</v>
      </c>
      <c r="AT92" s="1448">
        <v>866777401</v>
      </c>
      <c r="AU92" s="1448">
        <v>903205048.99999976</v>
      </c>
      <c r="AV92" s="1448">
        <v>862165229</v>
      </c>
      <c r="AW92" s="1448">
        <v>896618097.99999976</v>
      </c>
      <c r="AX92" s="1448">
        <v>887183541</v>
      </c>
      <c r="AY92" s="1448">
        <v>897026317</v>
      </c>
      <c r="AZ92" s="1448">
        <v>881412010</v>
      </c>
      <c r="BA92" s="1448">
        <v>881529050.70000005</v>
      </c>
      <c r="BB92" s="1448">
        <v>882239057</v>
      </c>
      <c r="BC92" s="1448">
        <v>882165474</v>
      </c>
      <c r="BD92" s="1448">
        <v>880547576</v>
      </c>
      <c r="BE92" s="1448">
        <v>880559167</v>
      </c>
      <c r="BF92" s="1448">
        <v>879679723</v>
      </c>
      <c r="BG92" s="1448">
        <v>879693243.93548393</v>
      </c>
      <c r="BH92" s="1448">
        <v>874183317</v>
      </c>
      <c r="BI92" s="1448">
        <v>874179716.93548393</v>
      </c>
      <c r="BJ92" s="1448">
        <v>871958203</v>
      </c>
      <c r="BK92" s="1448">
        <v>871954603</v>
      </c>
      <c r="BL92" s="1448">
        <v>867356126</v>
      </c>
      <c r="BM92" s="1448">
        <v>867352526</v>
      </c>
      <c r="BN92" s="1448">
        <v>868257368</v>
      </c>
      <c r="BO92" s="1448" t="e">
        <f>'3-2) 손익계산서(월간)'!#REF!</f>
        <v>#REF!</v>
      </c>
      <c r="BP92" s="1448">
        <v>862243168</v>
      </c>
      <c r="BQ92" s="1448">
        <v>870053416</v>
      </c>
      <c r="BR92" s="1448">
        <v>858637428</v>
      </c>
      <c r="BS92" s="1448">
        <v>869213516</v>
      </c>
      <c r="BT92" s="1448">
        <v>871351826</v>
      </c>
      <c r="BU92" s="1451" t="e">
        <f>'3-2) 손익계산서(월간)'!#REF!</f>
        <v>#REF!</v>
      </c>
      <c r="BV92" s="1448">
        <v>856569387</v>
      </c>
      <c r="BW92" s="1451">
        <f>'3-2) 손익계산서(월간)'!E9</f>
        <v>927074540</v>
      </c>
      <c r="BX92" s="1448">
        <v>851953901.64516127</v>
      </c>
      <c r="BY92" s="1451">
        <v>857936860</v>
      </c>
      <c r="BZ92" s="1448">
        <v>863483347.64516127</v>
      </c>
      <c r="CA92" s="1448">
        <v>870567718.57142794</v>
      </c>
      <c r="CB92" s="1448">
        <v>861952475.76497698</v>
      </c>
      <c r="CC92" s="1448">
        <v>853634967.00000012</v>
      </c>
      <c r="CD92" s="1448">
        <v>843984001.768718</v>
      </c>
      <c r="CE92" s="1448">
        <v>853634967.00000012</v>
      </c>
      <c r="CF92" s="1448">
        <v>843912881.06871796</v>
      </c>
      <c r="CG92" s="1448">
        <v>849449654.00000012</v>
      </c>
      <c r="CH92" s="1448">
        <v>842348287.56871796</v>
      </c>
      <c r="CI92" s="1448">
        <v>845502832.00000012</v>
      </c>
      <c r="CJ92" s="1448">
        <v>841030888.56871796</v>
      </c>
      <c r="CK92" s="1448">
        <v>861553845.38709676</v>
      </c>
      <c r="CL92" s="1448">
        <v>840867922.56871796</v>
      </c>
      <c r="CM92" s="1448">
        <v>810868758</v>
      </c>
      <c r="CN92" s="1448">
        <v>827904669</v>
      </c>
      <c r="CO92" s="1448">
        <v>808808497</v>
      </c>
      <c r="CP92" s="1448">
        <v>853220169</v>
      </c>
      <c r="CQ92" s="1448">
        <v>806569844</v>
      </c>
      <c r="CR92" s="1448">
        <v>804196739</v>
      </c>
      <c r="CS92" s="1448">
        <v>806425867</v>
      </c>
      <c r="CT92" s="1448">
        <v>827927769</v>
      </c>
      <c r="CU92" s="1448">
        <v>817413120</v>
      </c>
      <c r="CV92" s="1448">
        <v>797448588.30000007</v>
      </c>
      <c r="CW92" s="1448">
        <v>790767897</v>
      </c>
      <c r="CX92" s="1448">
        <v>793334952.12903225</v>
      </c>
      <c r="CY92" s="1448">
        <v>797453901</v>
      </c>
      <c r="CZ92" s="1448">
        <v>788237786</v>
      </c>
      <c r="DA92" s="1448">
        <v>776921199</v>
      </c>
      <c r="DB92" s="1448">
        <v>781554960.19354844</v>
      </c>
      <c r="DC92" s="1448">
        <v>794078387.1935482</v>
      </c>
      <c r="DD92" s="1448">
        <v>790813341.06451619</v>
      </c>
      <c r="DE92" s="1448">
        <v>791184441</v>
      </c>
      <c r="DF92" s="1448">
        <v>779324899.45161295</v>
      </c>
      <c r="DG92" s="1448">
        <v>779401899</v>
      </c>
      <c r="DH92" s="1448">
        <v>771439186.54838717</v>
      </c>
      <c r="DI92" s="1448">
        <v>771516186</v>
      </c>
      <c r="DJ92" s="1448">
        <v>823669113</v>
      </c>
      <c r="DK92" s="1448">
        <v>772244646</v>
      </c>
      <c r="DL92" s="1448">
        <v>819650343</v>
      </c>
      <c r="DM92" s="1448">
        <v>776470693</v>
      </c>
      <c r="DN92" s="1448">
        <v>822804268.48387098</v>
      </c>
      <c r="DO92" s="1448">
        <v>782138870.33333302</v>
      </c>
      <c r="DP92" s="1448">
        <v>817704223</v>
      </c>
      <c r="DQ92" s="1448">
        <v>772213659.66666698</v>
      </c>
      <c r="DR92" s="1448">
        <v>809287304.29032254</v>
      </c>
      <c r="DS92" s="1448">
        <v>775213463</v>
      </c>
      <c r="DT92" s="1448">
        <v>804350243.33333337</v>
      </c>
      <c r="DU92" s="1448">
        <v>771544643</v>
      </c>
      <c r="DV92" s="1448">
        <v>806398097.6774193</v>
      </c>
      <c r="DW92" s="1448">
        <v>777201687</v>
      </c>
      <c r="DX92" s="1448">
        <v>774435136.62068963</v>
      </c>
      <c r="DY92" s="1448">
        <v>771829675</v>
      </c>
      <c r="DZ92" s="1448">
        <v>777259083.48387098</v>
      </c>
      <c r="EA92" s="1448">
        <v>774816673</v>
      </c>
      <c r="EB92" s="1448">
        <v>776936669.29032254</v>
      </c>
      <c r="EC92" s="1448">
        <v>774593012</v>
      </c>
      <c r="ED92" s="1448">
        <v>776885208</v>
      </c>
      <c r="EE92" s="1448">
        <v>776962808</v>
      </c>
      <c r="EF92" s="1448">
        <v>754924621.87096763</v>
      </c>
      <c r="EG92" s="1448">
        <v>755001622</v>
      </c>
      <c r="EH92" s="1448">
        <v>816583457.04458702</v>
      </c>
      <c r="EI92" s="1448">
        <v>756192138</v>
      </c>
      <c r="EJ92" s="1448">
        <v>765541082.04458702</v>
      </c>
      <c r="EK92" s="1448">
        <v>752290438</v>
      </c>
      <c r="EL92" s="1448">
        <v>763773263.04556203</v>
      </c>
      <c r="EM92" s="1448">
        <v>747800449</v>
      </c>
      <c r="EN92" s="1448">
        <v>758202699.04556203</v>
      </c>
      <c r="EO92" s="1448">
        <v>746842168</v>
      </c>
      <c r="EP92" s="1448">
        <v>738768845.49556196</v>
      </c>
      <c r="EQ92" s="1448">
        <v>745911562</v>
      </c>
      <c r="ER92" s="1448">
        <v>730904210.83042204</v>
      </c>
      <c r="ES92" s="1448">
        <v>740454330</v>
      </c>
      <c r="ET92" s="1448">
        <v>733839512.83042204</v>
      </c>
      <c r="EU92" s="1448">
        <v>740484031</v>
      </c>
      <c r="EV92" s="1448">
        <v>697489486.03042197</v>
      </c>
      <c r="EW92" s="1448">
        <v>726265757</v>
      </c>
      <c r="EX92" s="1448">
        <v>705869471.02925003</v>
      </c>
      <c r="EY92" s="1448">
        <v>720091143</v>
      </c>
      <c r="EZ92" s="1448">
        <v>695652739.22605705</v>
      </c>
      <c r="FA92" s="1448">
        <v>694185567</v>
      </c>
      <c r="FB92" s="1448">
        <v>710078384.22605705</v>
      </c>
      <c r="FC92" s="1448">
        <v>704355383</v>
      </c>
      <c r="FD92" s="1448">
        <v>777048296.70513594</v>
      </c>
      <c r="FE92" s="1448">
        <v>700443437</v>
      </c>
      <c r="FF92" s="1448">
        <v>776943073.10513604</v>
      </c>
      <c r="FG92" s="1448">
        <v>688935250</v>
      </c>
      <c r="FH92" s="1448">
        <v>776893234.30513597</v>
      </c>
      <c r="FI92" s="1448">
        <v>685091250</v>
      </c>
      <c r="FJ92" s="1448">
        <v>763451553.90513599</v>
      </c>
      <c r="FK92" s="1448">
        <v>673316600</v>
      </c>
      <c r="FL92" s="1448">
        <v>757272369.90513599</v>
      </c>
      <c r="FM92" s="1448">
        <v>668649550</v>
      </c>
      <c r="FN92" s="1448">
        <v>751740123.98513603</v>
      </c>
      <c r="FO92" s="1448">
        <v>672386510</v>
      </c>
      <c r="FP92" s="1448">
        <v>751228110.68513596</v>
      </c>
      <c r="FQ92" s="1448">
        <v>693223170</v>
      </c>
      <c r="FR92" s="1448">
        <v>754494781.15439904</v>
      </c>
      <c r="FS92" s="1448">
        <v>698237870</v>
      </c>
      <c r="FT92" s="1448">
        <v>740872396.15439999</v>
      </c>
      <c r="FU92" s="1448">
        <v>742031030</v>
      </c>
      <c r="FV92" s="1452">
        <v>740285263.15439999</v>
      </c>
      <c r="FW92" s="1452">
        <v>774990590</v>
      </c>
      <c r="FX92" s="1448">
        <v>741150148.15439904</v>
      </c>
      <c r="FY92" s="1448">
        <v>737784520</v>
      </c>
      <c r="FZ92" s="1448">
        <v>547075450.39907598</v>
      </c>
      <c r="GA92" s="1448">
        <v>547500800</v>
      </c>
      <c r="GB92" s="1448"/>
      <c r="GC92" s="1448"/>
    </row>
    <row r="93" spans="1:186" outlineLevel="1">
      <c r="H93" s="1022"/>
      <c r="I93" s="1022"/>
      <c r="S93" s="1453" t="s">
        <v>249</v>
      </c>
      <c r="T93" s="1448">
        <f>SUMIF($Z$90:$AO$90,$T$90,Z93:AO93)</f>
        <v>373856162.75630879</v>
      </c>
      <c r="U93" s="1448">
        <f>SUMIF($Z$90:$AO$90,$U$90,Z93:AO93)</f>
        <v>498602921</v>
      </c>
      <c r="V93" s="1449">
        <v>46035539.033818379</v>
      </c>
      <c r="W93" s="1449">
        <f>'3-2) 손익계산서(월간)'!D10</f>
        <v>50297883</v>
      </c>
      <c r="X93" s="1449">
        <v>33607067.655551061</v>
      </c>
      <c r="Y93" s="1449">
        <v>34683999</v>
      </c>
      <c r="Z93" s="1448">
        <v>31517803.961369321</v>
      </c>
      <c r="AA93" s="1448">
        <v>30319322</v>
      </c>
      <c r="AB93" s="1450">
        <v>39949265.794939443</v>
      </c>
      <c r="AC93" s="1450">
        <v>42782523</v>
      </c>
      <c r="AD93" s="1448">
        <v>117066975</v>
      </c>
      <c r="AE93" s="1448">
        <v>176304152</v>
      </c>
      <c r="AF93" s="1448">
        <v>48970940</v>
      </c>
      <c r="AG93" s="1448">
        <v>60558699</v>
      </c>
      <c r="AH93" s="1448">
        <v>45164456</v>
      </c>
      <c r="AI93" s="1448">
        <v>55467636</v>
      </c>
      <c r="AJ93" s="1448">
        <v>38271072</v>
      </c>
      <c r="AK93" s="1448">
        <v>51143807</v>
      </c>
      <c r="AL93" s="1448">
        <v>30360765</v>
      </c>
      <c r="AM93" s="1448">
        <v>37151337</v>
      </c>
      <c r="AN93" s="1448">
        <v>22554885</v>
      </c>
      <c r="AO93" s="1448">
        <v>44875445</v>
      </c>
      <c r="AP93" s="1448">
        <v>47406680</v>
      </c>
      <c r="AQ93" s="1448">
        <v>64772235</v>
      </c>
      <c r="AR93" s="1448">
        <v>53242151</v>
      </c>
      <c r="AS93" s="1448">
        <v>62090741</v>
      </c>
      <c r="AT93" s="1448">
        <v>41320836</v>
      </c>
      <c r="AU93" s="1448">
        <v>61301781</v>
      </c>
      <c r="AV93" s="1448">
        <v>27119477</v>
      </c>
      <c r="AW93" s="1448">
        <v>40237233</v>
      </c>
      <c r="AX93" s="1448">
        <v>24731075</v>
      </c>
      <c r="AY93" s="1448">
        <v>33803709</v>
      </c>
      <c r="AZ93" s="1448">
        <v>133190878</v>
      </c>
      <c r="BA93" s="1448">
        <v>36512114</v>
      </c>
      <c r="BB93" s="1448">
        <v>40219949</v>
      </c>
      <c r="BC93" s="1448">
        <v>129719134</v>
      </c>
      <c r="BD93" s="1448">
        <v>43573332</v>
      </c>
      <c r="BE93" s="1448">
        <v>56244057</v>
      </c>
      <c r="BF93" s="1448">
        <v>38510253</v>
      </c>
      <c r="BG93" s="1448">
        <v>53051662</v>
      </c>
      <c r="BH93" s="1448">
        <v>29402236</v>
      </c>
      <c r="BI93" s="1448">
        <v>38794084</v>
      </c>
      <c r="BJ93" s="1448">
        <v>21602613</v>
      </c>
      <c r="BK93" s="1448">
        <v>29855599</v>
      </c>
      <c r="BL93" s="1448">
        <v>22365367</v>
      </c>
      <c r="BM93" s="1448">
        <v>33284434</v>
      </c>
      <c r="BN93" s="1448">
        <v>41592890</v>
      </c>
      <c r="BO93" s="1448" t="e">
        <f>'3-2) 손익계산서(월간)'!#REF!</f>
        <v>#REF!</v>
      </c>
      <c r="BP93" s="1448">
        <v>47696592</v>
      </c>
      <c r="BQ93" s="1448">
        <v>52901826</v>
      </c>
      <c r="BR93" s="1448">
        <v>42032687</v>
      </c>
      <c r="BS93" s="1448">
        <v>41362094</v>
      </c>
      <c r="BT93" s="1448">
        <v>23945888</v>
      </c>
      <c r="BU93" s="1451" t="e">
        <f>'3-2) 손익계산서(월간)'!#REF!</f>
        <v>#REF!</v>
      </c>
      <c r="BV93" s="1448">
        <v>22428500</v>
      </c>
      <c r="BW93" s="1451">
        <f>'3-2) 손익계산서(월간)'!E10</f>
        <v>34683999</v>
      </c>
      <c r="BX93" s="1448">
        <v>24885302.992962252</v>
      </c>
      <c r="BY93" s="1451">
        <v>34014215</v>
      </c>
      <c r="BZ93" s="1448">
        <v>163455355.89268187</v>
      </c>
      <c r="CA93" s="1448">
        <v>133991107</v>
      </c>
      <c r="CB93" s="1448">
        <v>77504530.446504518</v>
      </c>
      <c r="CC93" s="1448">
        <v>42672388</v>
      </c>
      <c r="CD93" s="1448">
        <v>45820000</v>
      </c>
      <c r="CE93" s="1448">
        <v>42672388</v>
      </c>
      <c r="CF93" s="1448">
        <v>45820000</v>
      </c>
      <c r="CG93" s="1448">
        <v>32122236</v>
      </c>
      <c r="CH93" s="1448">
        <v>45820000</v>
      </c>
      <c r="CI93" s="1448">
        <v>24306733</v>
      </c>
      <c r="CJ93" s="1448">
        <v>45820000</v>
      </c>
      <c r="CK93" s="1448">
        <v>25085367</v>
      </c>
      <c r="CL93" s="1448">
        <v>45820000</v>
      </c>
      <c r="CM93" s="1448">
        <v>41193653</v>
      </c>
      <c r="CN93" s="1448">
        <v>40459622.299999997</v>
      </c>
      <c r="CO93" s="1448">
        <v>45602286</v>
      </c>
      <c r="CP93" s="1448">
        <v>39962550.920000002</v>
      </c>
      <c r="CQ93" s="1448">
        <v>40086609</v>
      </c>
      <c r="CR93" s="1448">
        <v>23824306.759999998</v>
      </c>
      <c r="CS93" s="1448">
        <v>22334400</v>
      </c>
      <c r="CT93" s="1448">
        <v>23424745.399999999</v>
      </c>
      <c r="CU93" s="1448">
        <v>120952759</v>
      </c>
      <c r="CV93" s="1448">
        <v>26361469.100000001</v>
      </c>
      <c r="CW93" s="1448">
        <v>23957948</v>
      </c>
      <c r="CX93" s="1448">
        <v>35451067.640000001</v>
      </c>
      <c r="CY93" s="1448">
        <v>32941670</v>
      </c>
      <c r="CZ93" s="1448">
        <v>37395178.280000001</v>
      </c>
      <c r="DA93" s="1448">
        <v>40121897</v>
      </c>
      <c r="DB93" s="1448">
        <v>36483160.519999996</v>
      </c>
      <c r="DC93" s="1448">
        <v>37397378</v>
      </c>
      <c r="DD93" s="1448">
        <v>112227364.53999999</v>
      </c>
      <c r="DE93" s="1448">
        <v>129587645</v>
      </c>
      <c r="DF93" s="1448">
        <v>24021241.940000001</v>
      </c>
      <c r="DG93" s="1448">
        <v>22939447</v>
      </c>
      <c r="DH93" s="1448">
        <v>24819395</v>
      </c>
      <c r="DI93" s="1448">
        <v>24819395</v>
      </c>
      <c r="DJ93" s="1448">
        <v>40671000</v>
      </c>
      <c r="DK93" s="1448">
        <v>37804880</v>
      </c>
      <c r="DL93" s="1448">
        <v>40723045.049999997</v>
      </c>
      <c r="DM93" s="1448">
        <v>40193026</v>
      </c>
      <c r="DN93" s="1448">
        <v>37671644.850000001</v>
      </c>
      <c r="DO93" s="1448">
        <v>40065246</v>
      </c>
      <c r="DP93" s="1448">
        <v>26293402.449999999</v>
      </c>
      <c r="DQ93" s="1448">
        <v>24243438</v>
      </c>
      <c r="DR93" s="1448">
        <v>24211167.199999999</v>
      </c>
      <c r="DS93" s="1448">
        <v>23118770</v>
      </c>
      <c r="DT93" s="1448">
        <v>24572957.850000001</v>
      </c>
      <c r="DU93" s="1448">
        <v>26043205</v>
      </c>
      <c r="DV93" s="1448">
        <v>32549778.450000003</v>
      </c>
      <c r="DW93" s="1448">
        <v>35049282</v>
      </c>
      <c r="DX93" s="1448">
        <v>38191260.149999999</v>
      </c>
      <c r="DY93" s="1448">
        <v>36988214</v>
      </c>
      <c r="DZ93" s="1448">
        <v>36487269.299999997</v>
      </c>
      <c r="EA93" s="1448">
        <v>36046726</v>
      </c>
      <c r="EB93" s="1448">
        <v>32933745.850000001</v>
      </c>
      <c r="EC93" s="1448">
        <v>174053080</v>
      </c>
      <c r="ED93" s="1448">
        <v>124594598.34999999</v>
      </c>
      <c r="EE93" s="1448">
        <v>23744747</v>
      </c>
      <c r="EF93" s="1448">
        <v>26061337.550000001</v>
      </c>
      <c r="EG93" s="1448">
        <v>25901200</v>
      </c>
      <c r="EH93" s="1448">
        <v>36757175.636363603</v>
      </c>
      <c r="EI93" s="1448">
        <v>42239735</v>
      </c>
      <c r="EJ93" s="1448">
        <v>36757175.636363603</v>
      </c>
      <c r="EK93" s="1448">
        <v>39563208</v>
      </c>
      <c r="EL93" s="1448">
        <v>36757175.636363603</v>
      </c>
      <c r="EM93" s="1448">
        <v>37002629</v>
      </c>
      <c r="EN93" s="1448">
        <v>36757175.636363603</v>
      </c>
      <c r="EO93" s="1448">
        <v>25975393</v>
      </c>
      <c r="EP93" s="1448">
        <v>36757175.636363603</v>
      </c>
      <c r="EQ93" s="1448">
        <v>23788640</v>
      </c>
      <c r="ER93" s="1448">
        <v>36757175.636363603</v>
      </c>
      <c r="ES93" s="1448">
        <v>24182451</v>
      </c>
      <c r="ET93" s="1448">
        <v>36757175.636363603</v>
      </c>
      <c r="EU93" s="1448">
        <v>37905456</v>
      </c>
      <c r="EV93" s="1448">
        <v>36757175.636363603</v>
      </c>
      <c r="EW93" s="1448">
        <v>46211760</v>
      </c>
      <c r="EX93" s="1448">
        <v>36757175.636363603</v>
      </c>
      <c r="EY93" s="1448">
        <v>40915085</v>
      </c>
      <c r="EZ93" s="1448">
        <v>36757175.636363603</v>
      </c>
      <c r="FA93" s="1448">
        <v>29579372</v>
      </c>
      <c r="FB93" s="1448">
        <v>36757175.636363603</v>
      </c>
      <c r="FC93" s="1448">
        <v>21483634</v>
      </c>
      <c r="FD93" s="1448">
        <v>55608014</v>
      </c>
      <c r="FE93" s="1448">
        <v>29291822</v>
      </c>
      <c r="FF93" s="1448">
        <v>55608014</v>
      </c>
      <c r="FG93" s="1448">
        <v>51458048</v>
      </c>
      <c r="FH93" s="1448">
        <v>55608014</v>
      </c>
      <c r="FI93" s="1448">
        <v>47753136</v>
      </c>
      <c r="FJ93" s="1448">
        <v>55608014</v>
      </c>
      <c r="FK93" s="1448">
        <v>35343892</v>
      </c>
      <c r="FL93" s="1448">
        <v>55608014</v>
      </c>
      <c r="FM93" s="1448">
        <v>25079624</v>
      </c>
      <c r="FN93" s="1448">
        <v>55608014</v>
      </c>
      <c r="FO93" s="1448">
        <v>23163800</v>
      </c>
      <c r="FP93" s="1448">
        <v>55608014</v>
      </c>
      <c r="FQ93" s="1448">
        <v>25979419</v>
      </c>
      <c r="FR93" s="1448">
        <v>55608014</v>
      </c>
      <c r="FS93" s="1448">
        <v>34201153</v>
      </c>
      <c r="FT93" s="1448">
        <v>55608014</v>
      </c>
      <c r="FU93" s="1448">
        <v>47365710</v>
      </c>
      <c r="FV93" s="1454">
        <v>55608014</v>
      </c>
      <c r="FW93" s="1454">
        <v>48061653</v>
      </c>
      <c r="FX93" s="1448">
        <v>55608014</v>
      </c>
      <c r="FY93" s="1448">
        <v>36630675</v>
      </c>
      <c r="FZ93" s="1448">
        <v>55608014</v>
      </c>
      <c r="GA93" s="1448">
        <v>523833</v>
      </c>
      <c r="GB93" s="1448"/>
      <c r="GC93" s="1448"/>
      <c r="GD93" s="1425"/>
    </row>
    <row r="94" spans="1:186" ht="15.75" outlineLevel="1" thickBot="1">
      <c r="H94" s="1022"/>
      <c r="I94" s="1022"/>
      <c r="S94" s="1455" t="s">
        <v>978</v>
      </c>
      <c r="T94" s="1448">
        <f>SUMIF($Z$90:$AO$90,$T$90,Z94:AO94)</f>
        <v>16872490033.056309</v>
      </c>
      <c r="U94" s="1448">
        <f>SUMIF($Z$90:$AO$90,$U$90,Z94:AO94)</f>
        <v>17085101734</v>
      </c>
      <c r="V94" s="1456">
        <f>V91+V92+V93</f>
        <v>2076767827.5176895</v>
      </c>
      <c r="W94" s="1456">
        <f>W91+W92+W93</f>
        <v>2156845734</v>
      </c>
      <c r="X94" s="1456">
        <f>X91+X92+X93</f>
        <v>2117288062.655551</v>
      </c>
      <c r="Y94" s="1456">
        <f>Y91+Y92+Y93</f>
        <v>2062278609</v>
      </c>
      <c r="Z94" s="1457">
        <f>SUM(Z91:Z93)</f>
        <v>2017115880.9613693</v>
      </c>
      <c r="AA94" s="1456">
        <f>AA91+AA92+AA93</f>
        <v>1961477312</v>
      </c>
      <c r="AB94" s="1456">
        <v>2146711466.0949395</v>
      </c>
      <c r="AC94" s="1456">
        <v>2220058464</v>
      </c>
      <c r="AD94" s="1457">
        <v>2150163433</v>
      </c>
      <c r="AE94" s="1456">
        <v>2279049290</v>
      </c>
      <c r="AF94" s="1457">
        <v>1937213695</v>
      </c>
      <c r="AG94" s="1456">
        <v>1948808235</v>
      </c>
      <c r="AH94" s="1457">
        <v>2233446791</v>
      </c>
      <c r="AI94" s="1456">
        <v>2246169583</v>
      </c>
      <c r="AJ94" s="1457">
        <v>2224985051</v>
      </c>
      <c r="AK94" s="1456">
        <v>2237574002</v>
      </c>
      <c r="AL94" s="1457">
        <v>2098031502</v>
      </c>
      <c r="AM94" s="1456">
        <v>2104822074</v>
      </c>
      <c r="AN94" s="1457">
        <v>2064822214</v>
      </c>
      <c r="AO94" s="1456">
        <v>2087142774</v>
      </c>
      <c r="AP94" s="1457">
        <v>2310366148</v>
      </c>
      <c r="AQ94" s="1456">
        <v>2333003025</v>
      </c>
      <c r="AR94" s="1457">
        <f>SUM(AR91:AR93)</f>
        <v>2035051618</v>
      </c>
      <c r="AS94" s="1456">
        <v>2104815759.9999998</v>
      </c>
      <c r="AT94" s="1457">
        <v>2031078999</v>
      </c>
      <c r="AU94" s="1456">
        <v>2101413514.9999998</v>
      </c>
      <c r="AV94" s="1457">
        <v>1755022333</v>
      </c>
      <c r="AW94" s="1456">
        <v>1790502154.9999998</v>
      </c>
      <c r="AX94" s="1457">
        <v>1875202104</v>
      </c>
      <c r="AY94" s="1456">
        <v>1913979592</v>
      </c>
      <c r="AZ94" s="1457">
        <v>2159369407</v>
      </c>
      <c r="BA94" s="1456">
        <v>2060308508.2</v>
      </c>
      <c r="BB94" s="1457">
        <v>1942613076</v>
      </c>
      <c r="BC94" s="1456">
        <v>2031522516</v>
      </c>
      <c r="BD94" s="1457">
        <v>2066795071</v>
      </c>
      <c r="BE94" s="1456">
        <v>2077630634</v>
      </c>
      <c r="BF94" s="1457">
        <v>2200571440</v>
      </c>
      <c r="BG94" s="1456">
        <v>2215141448.3870964</v>
      </c>
      <c r="BH94" s="1457">
        <v>2136619681</v>
      </c>
      <c r="BI94" s="1456">
        <v>2139747585.3870969</v>
      </c>
      <c r="BJ94" s="1457">
        <f>BJ91+BJ92+BJ93</f>
        <v>2016362764</v>
      </c>
      <c r="BK94" s="1456">
        <f>BK91+BK92+BK93</f>
        <v>2024612150</v>
      </c>
      <c r="BL94" s="1456">
        <f>BL91+BL92+BL93</f>
        <v>2003176475</v>
      </c>
      <c r="BM94" s="1456">
        <v>2014091943</v>
      </c>
      <c r="BN94" s="1457">
        <f>BN91+BN92+BN93</f>
        <v>2270880554</v>
      </c>
      <c r="BO94" s="1456" t="e">
        <f>BO91+BO92+BO93</f>
        <v>#REF!</v>
      </c>
      <c r="BP94" s="1457">
        <v>2244764003</v>
      </c>
      <c r="BQ94" s="1456">
        <v>2023026654</v>
      </c>
      <c r="BR94" s="1457">
        <f>BR91+BR92+BR93</f>
        <v>2172869798</v>
      </c>
      <c r="BS94" s="1456">
        <v>2014358002</v>
      </c>
      <c r="BT94" s="1457">
        <f>BT91+BT92+BT93</f>
        <v>1960737135</v>
      </c>
      <c r="BU94" s="1456" t="e">
        <f>BU91+BU92+BU93</f>
        <v>#REF!</v>
      </c>
      <c r="BV94" s="1457">
        <f>BV91+BV92+BV93</f>
        <v>1865632991</v>
      </c>
      <c r="BW94" s="1456">
        <f>BW91+BW92+BW93</f>
        <v>2062278609</v>
      </c>
      <c r="BX94" s="1456">
        <v>1983382398.6381235</v>
      </c>
      <c r="BY94" s="1456">
        <v>1996028665</v>
      </c>
      <c r="BZ94" s="1456">
        <v>1980829648.7962356</v>
      </c>
      <c r="CA94" s="1456">
        <v>1981631100.5714281</v>
      </c>
      <c r="CB94" s="1456">
        <v>2044635684.1472936</v>
      </c>
      <c r="CC94" s="1456">
        <v>1999614033</v>
      </c>
      <c r="CD94" s="1456">
        <v>2155533821.996408</v>
      </c>
      <c r="CE94" s="1456">
        <v>1999614033</v>
      </c>
      <c r="CF94" s="1456">
        <v>2106741169.035538</v>
      </c>
      <c r="CG94" s="1456">
        <f>SUM(CG91:CG93)</f>
        <v>2042027711</v>
      </c>
      <c r="CH94" s="1456">
        <v>2046353794.338058</v>
      </c>
      <c r="CI94" s="1456">
        <v>1956877203</v>
      </c>
      <c r="CJ94" s="1456">
        <v>1981778066.0047178</v>
      </c>
      <c r="CK94" s="1456">
        <f>SUM(CK91:CK93)</f>
        <v>1915972208.3551667</v>
      </c>
      <c r="CL94" s="1456">
        <v>2092857309.4638479</v>
      </c>
      <c r="CM94" s="1456">
        <f>SUM(CM91:CM93)</f>
        <v>2058338472</v>
      </c>
      <c r="CN94" s="1456">
        <v>1930358434.3</v>
      </c>
      <c r="CO94" s="1456">
        <v>1896862076</v>
      </c>
      <c r="CP94" s="1456">
        <v>1914898862.9200001</v>
      </c>
      <c r="CQ94" s="1456">
        <v>1850848646</v>
      </c>
      <c r="CR94" s="1456">
        <v>1570556307.7266667</v>
      </c>
      <c r="CS94" s="1456">
        <v>1548710168</v>
      </c>
      <c r="CT94" s="1456">
        <v>1714982989.5935485</v>
      </c>
      <c r="CU94" s="1456">
        <v>1745508384</v>
      </c>
      <c r="CV94" s="1456">
        <v>1824791787.0666666</v>
      </c>
      <c r="CW94" s="1456">
        <v>1786006304</v>
      </c>
      <c r="CX94" s="1456">
        <v>1715618096.2854893</v>
      </c>
      <c r="CY94" s="1456">
        <v>1738531477</v>
      </c>
      <c r="CZ94" s="1456">
        <v>1875893718.280328</v>
      </c>
      <c r="DA94" s="1456">
        <v>1888333523</v>
      </c>
      <c r="DB94" s="1456">
        <v>1961963281.4880698</v>
      </c>
      <c r="DC94" s="1456">
        <v>1996424456.5161285</v>
      </c>
      <c r="DD94" s="1456">
        <v>2037199735.024199</v>
      </c>
      <c r="DE94" s="1456">
        <v>2055350915</v>
      </c>
      <c r="DF94" s="1456">
        <v>1850092213.3919411</v>
      </c>
      <c r="DG94" s="1456">
        <v>1849087418</v>
      </c>
      <c r="DH94" s="1456">
        <v>1770004985.6777472</v>
      </c>
      <c r="DI94" s="1456">
        <v>1770081985</v>
      </c>
      <c r="DJ94" s="1456">
        <v>2167538188.3336611</v>
      </c>
      <c r="DK94" s="1456">
        <v>2022685280</v>
      </c>
      <c r="DL94" s="1456">
        <v>1923814613.3833334</v>
      </c>
      <c r="DM94" s="1456">
        <v>1820098692</v>
      </c>
      <c r="DN94" s="1456">
        <v>1946744687.054301</v>
      </c>
      <c r="DO94" s="1456">
        <v>1857488238.666666</v>
      </c>
      <c r="DP94" s="1456">
        <v>1627083733.9833333</v>
      </c>
      <c r="DQ94" s="1456">
        <v>1549156069.333334</v>
      </c>
      <c r="DR94" s="1456">
        <v>1714781497.5333333</v>
      </c>
      <c r="DS94" s="1456">
        <v>1649679899</v>
      </c>
      <c r="DT94" s="1456">
        <v>1858909664.5166667</v>
      </c>
      <c r="DU94" s="1456">
        <v>1781469732</v>
      </c>
      <c r="DV94" s="1456">
        <v>1977862175.1600053</v>
      </c>
      <c r="DW94" s="1456">
        <v>1897826128</v>
      </c>
      <c r="DX94" s="1456">
        <v>1869509106.0813625</v>
      </c>
      <c r="DY94" s="1456">
        <v>1861419182</v>
      </c>
      <c r="DZ94" s="1456">
        <v>1959641746.6551669</v>
      </c>
      <c r="EA94" s="1456">
        <v>1952468653</v>
      </c>
      <c r="EB94" s="1456">
        <v>1684612440.9471021</v>
      </c>
      <c r="EC94" s="1456">
        <v>1828623548</v>
      </c>
      <c r="ED94" s="1456">
        <v>1654545776.350328</v>
      </c>
      <c r="EE94" s="1456">
        <v>1560871792</v>
      </c>
      <c r="EF94" s="1456">
        <v>1874752086.8406503</v>
      </c>
      <c r="EG94" s="1456">
        <v>1881738949</v>
      </c>
      <c r="EH94" s="1456">
        <v>2012633926.93116</v>
      </c>
      <c r="EI94" s="1456">
        <v>2063377210.0000005</v>
      </c>
      <c r="EJ94" s="1456">
        <v>1971919940.44402</v>
      </c>
      <c r="EK94" s="1456">
        <v>2027810076.0000005</v>
      </c>
      <c r="EL94" s="1456">
        <v>1965632241.4321301</v>
      </c>
      <c r="EM94" s="1456">
        <v>2018750990</v>
      </c>
      <c r="EN94" s="1456">
        <v>1844876271.83213</v>
      </c>
      <c r="EO94" s="1456">
        <v>1764673524.0000005</v>
      </c>
      <c r="EP94" s="1456">
        <v>1590562658.7807901</v>
      </c>
      <c r="EQ94" s="1456">
        <v>1576831260.3333335</v>
      </c>
      <c r="ER94" s="1456">
        <v>1685054197.94888</v>
      </c>
      <c r="ES94" s="1456">
        <v>1640203837</v>
      </c>
      <c r="ET94" s="1456">
        <v>1787160279.4049301</v>
      </c>
      <c r="EU94" s="1456">
        <v>1733880734</v>
      </c>
      <c r="EV94" s="1456">
        <v>1700510027.00492</v>
      </c>
      <c r="EW94" s="1456">
        <v>1680258881</v>
      </c>
      <c r="EX94" s="1456">
        <v>1759326298.64937</v>
      </c>
      <c r="EY94" s="1456">
        <v>1750171543</v>
      </c>
      <c r="EZ94" s="1456">
        <v>1390345272.8052299</v>
      </c>
      <c r="FA94" s="1456">
        <v>1335391796</v>
      </c>
      <c r="FB94" s="1456">
        <v>1778137196.6150401</v>
      </c>
      <c r="FC94" s="1456">
        <v>1725487661</v>
      </c>
      <c r="FD94" s="1456">
        <v>1942350254.3851399</v>
      </c>
      <c r="FE94" s="1456">
        <v>1688186935</v>
      </c>
      <c r="FF94" s="1456">
        <v>2076373451.9302101</v>
      </c>
      <c r="FG94" s="1456">
        <v>1886304575</v>
      </c>
      <c r="FH94" s="1456">
        <v>2051827457.53021</v>
      </c>
      <c r="FI94" s="1456">
        <v>1878151356</v>
      </c>
      <c r="FJ94" s="1456">
        <v>2066282286.17839</v>
      </c>
      <c r="FK94" s="1456">
        <v>1850545862</v>
      </c>
      <c r="FL94" s="1456">
        <v>2056758129.17221</v>
      </c>
      <c r="FM94" s="1456">
        <v>1772779627</v>
      </c>
      <c r="FN94" s="1456">
        <v>1880442639.695966</v>
      </c>
      <c r="FO94" s="1456">
        <v>1612444950</v>
      </c>
      <c r="FP94" s="1456">
        <v>1911428928.3321199</v>
      </c>
      <c r="FQ94" s="1456">
        <v>1692843349</v>
      </c>
      <c r="FR94" s="1458">
        <v>1950980951.8831999</v>
      </c>
      <c r="FS94" s="1458">
        <v>1769092903</v>
      </c>
      <c r="FT94" s="1458">
        <v>1830311181.8831999</v>
      </c>
      <c r="FU94" s="1458">
        <v>1784962190</v>
      </c>
      <c r="FV94" s="1458">
        <v>1870278781.8831999</v>
      </c>
      <c r="FW94" s="1458">
        <v>1899035913</v>
      </c>
      <c r="FX94" s="1458">
        <v>1539741956.8831999</v>
      </c>
      <c r="FY94" s="1458">
        <v>1539068905</v>
      </c>
      <c r="FZ94" s="1458">
        <v>1403818121.0657401</v>
      </c>
      <c r="GA94" s="1458">
        <v>1359156633</v>
      </c>
      <c r="GB94" s="1458">
        <f>SUM(GB91:GB93)</f>
        <v>0</v>
      </c>
      <c r="GC94" s="1458">
        <f>SUM(GC91:GC93)</f>
        <v>0</v>
      </c>
      <c r="GD94" s="1425"/>
    </row>
    <row r="95" spans="1:186" ht="15.75" outlineLevel="1" thickBot="1">
      <c r="H95" s="1022"/>
      <c r="I95" s="1022"/>
      <c r="S95" s="1459" t="s">
        <v>979</v>
      </c>
      <c r="T95" s="1460">
        <f>SUM(T91:T93)</f>
        <v>16872490033.056309</v>
      </c>
      <c r="U95" s="1460">
        <f>SUM(U91:U93)</f>
        <v>17085101734</v>
      </c>
      <c r="V95" s="1461">
        <f>V94</f>
        <v>2076767827.5176895</v>
      </c>
      <c r="W95" s="1461">
        <f>W94</f>
        <v>2156845734</v>
      </c>
      <c r="X95" s="1461">
        <f>X94</f>
        <v>2117288062.655551</v>
      </c>
      <c r="Y95" s="1461">
        <f>Y94</f>
        <v>2062278609</v>
      </c>
      <c r="Z95" s="1461">
        <f t="shared" ref="Z95" si="47">Z94</f>
        <v>2017115880.9613693</v>
      </c>
      <c r="AA95" s="1461">
        <f>AA94</f>
        <v>1961477312</v>
      </c>
      <c r="AB95" s="1461">
        <v>2146711466.0949395</v>
      </c>
      <c r="AC95" s="1461">
        <v>2220058464</v>
      </c>
      <c r="AD95" s="1461">
        <v>2150163433</v>
      </c>
      <c r="AE95" s="1461">
        <v>2279049290</v>
      </c>
      <c r="AF95" s="1461">
        <f t="shared" ref="AF95" si="48">AF94</f>
        <v>1937213695</v>
      </c>
      <c r="AG95" s="1461">
        <f>AG94</f>
        <v>1948808235</v>
      </c>
      <c r="AH95" s="1461">
        <f t="shared" ref="AH95" si="49">AH94</f>
        <v>2233446791</v>
      </c>
      <c r="AI95" s="1461">
        <f>AI94</f>
        <v>2246169583</v>
      </c>
      <c r="AJ95" s="1461">
        <f t="shared" ref="AJ95" si="50">AJ94</f>
        <v>2224985051</v>
      </c>
      <c r="AK95" s="1461">
        <f>AK94</f>
        <v>2237574002</v>
      </c>
      <c r="AL95" s="1461">
        <v>2098031502</v>
      </c>
      <c r="AM95" s="1461">
        <f>AM94</f>
        <v>2104822074</v>
      </c>
      <c r="AN95" s="1461">
        <f t="shared" ref="AN95" si="51">AN94</f>
        <v>2064822214</v>
      </c>
      <c r="AO95" s="1461">
        <f>AO94</f>
        <v>2087142774</v>
      </c>
      <c r="AP95" s="1461">
        <f t="shared" ref="AP95" si="52">AP94</f>
        <v>2310366148</v>
      </c>
      <c r="AQ95" s="1461">
        <f>AQ94</f>
        <v>2333003025</v>
      </c>
      <c r="AR95" s="1461">
        <f t="shared" ref="AR95" si="53">AR94</f>
        <v>2035051618</v>
      </c>
      <c r="AS95" s="1461">
        <f>AS94</f>
        <v>2104815759.9999998</v>
      </c>
      <c r="AT95" s="1461">
        <f t="shared" ref="AT95:AY95" si="54">AT94</f>
        <v>2031078999</v>
      </c>
      <c r="AU95" s="1461">
        <f t="shared" si="54"/>
        <v>2101413514.9999998</v>
      </c>
      <c r="AV95" s="1461">
        <f t="shared" si="54"/>
        <v>1755022333</v>
      </c>
      <c r="AW95" s="1461">
        <f t="shared" si="54"/>
        <v>1790502154.9999998</v>
      </c>
      <c r="AX95" s="1461">
        <f t="shared" si="54"/>
        <v>1875202104</v>
      </c>
      <c r="AY95" s="1461">
        <f t="shared" si="54"/>
        <v>1913979592</v>
      </c>
      <c r="AZ95" s="1461">
        <f>AE94</f>
        <v>2279049290</v>
      </c>
      <c r="BA95" s="1461">
        <f t="shared" ref="BA95:BG95" si="55">BA94</f>
        <v>2060308508.2</v>
      </c>
      <c r="BB95" s="1461">
        <f t="shared" si="55"/>
        <v>1942613076</v>
      </c>
      <c r="BC95" s="1461">
        <f t="shared" si="55"/>
        <v>2031522516</v>
      </c>
      <c r="BD95" s="1461">
        <f t="shared" si="55"/>
        <v>2066795071</v>
      </c>
      <c r="BE95" s="1461">
        <f t="shared" si="55"/>
        <v>2077630634</v>
      </c>
      <c r="BF95" s="1461">
        <f t="shared" si="55"/>
        <v>2200571440</v>
      </c>
      <c r="BG95" s="1461">
        <f t="shared" si="55"/>
        <v>2215141448.3870964</v>
      </c>
      <c r="BH95" s="1461">
        <v>2136619681</v>
      </c>
      <c r="BI95" s="1461">
        <v>2139747585.3870969</v>
      </c>
      <c r="BJ95" s="1461">
        <f t="shared" ref="BJ95:CE95" si="56">BJ94</f>
        <v>2016362764</v>
      </c>
      <c r="BK95" s="1461">
        <f t="shared" si="56"/>
        <v>2024612150</v>
      </c>
      <c r="BL95" s="1461">
        <f t="shared" si="56"/>
        <v>2003176475</v>
      </c>
      <c r="BM95" s="1461">
        <f t="shared" si="56"/>
        <v>2014091943</v>
      </c>
      <c r="BN95" s="1461">
        <f t="shared" si="56"/>
        <v>2270880554</v>
      </c>
      <c r="BO95" s="1461" t="e">
        <f t="shared" si="56"/>
        <v>#REF!</v>
      </c>
      <c r="BP95" s="1461">
        <f t="shared" si="56"/>
        <v>2244764003</v>
      </c>
      <c r="BQ95" s="1461">
        <f t="shared" si="56"/>
        <v>2023026654</v>
      </c>
      <c r="BR95" s="1461">
        <f t="shared" si="56"/>
        <v>2172869798</v>
      </c>
      <c r="BS95" s="1461">
        <f t="shared" si="56"/>
        <v>2014358002</v>
      </c>
      <c r="BT95" s="1461">
        <f t="shared" si="56"/>
        <v>1960737135</v>
      </c>
      <c r="BU95" s="1461" t="e">
        <f t="shared" si="56"/>
        <v>#REF!</v>
      </c>
      <c r="BV95" s="1461">
        <f t="shared" si="56"/>
        <v>1865632991</v>
      </c>
      <c r="BW95" s="1461">
        <f t="shared" si="56"/>
        <v>2062278609</v>
      </c>
      <c r="BX95" s="1461">
        <f t="shared" si="56"/>
        <v>1983382398.6381235</v>
      </c>
      <c r="BY95" s="1461">
        <f t="shared" si="56"/>
        <v>1996028665</v>
      </c>
      <c r="BZ95" s="1460">
        <f t="shared" si="56"/>
        <v>1980829648.7962356</v>
      </c>
      <c r="CA95" s="1460">
        <f t="shared" si="56"/>
        <v>1981631100.5714281</v>
      </c>
      <c r="CB95" s="1460">
        <f t="shared" si="56"/>
        <v>2044635684.1472936</v>
      </c>
      <c r="CC95" s="1460">
        <f t="shared" si="56"/>
        <v>1999614033</v>
      </c>
      <c r="CD95" s="1460">
        <f t="shared" si="56"/>
        <v>2155533821.996408</v>
      </c>
      <c r="CE95" s="1460">
        <f t="shared" si="56"/>
        <v>1999614033</v>
      </c>
      <c r="CF95" s="1460">
        <f t="shared" ref="CF95:EQ95" si="57">SUM(CF91:CF93)</f>
        <v>2106741169.035538</v>
      </c>
      <c r="CG95" s="1460">
        <f>CG94</f>
        <v>2042027711</v>
      </c>
      <c r="CH95" s="1460">
        <f t="shared" si="57"/>
        <v>2046353794.338058</v>
      </c>
      <c r="CI95" s="1460">
        <f t="shared" si="57"/>
        <v>1956877203</v>
      </c>
      <c r="CJ95" s="1460">
        <f>SUM(CJ91:CJ93)</f>
        <v>1981778066.0047178</v>
      </c>
      <c r="CK95" s="1460">
        <f t="shared" si="57"/>
        <v>1915972208.3551667</v>
      </c>
      <c r="CL95" s="1460">
        <f>SUM(CK91:CK93)</f>
        <v>1915972208.3551667</v>
      </c>
      <c r="CM95" s="1460">
        <f t="shared" si="57"/>
        <v>2058338472</v>
      </c>
      <c r="CN95" s="1460">
        <f t="shared" si="57"/>
        <v>1930358434.3</v>
      </c>
      <c r="CO95" s="1460">
        <f t="shared" si="57"/>
        <v>1896862076</v>
      </c>
      <c r="CP95" s="1460">
        <f t="shared" si="57"/>
        <v>1914898862.9200001</v>
      </c>
      <c r="CQ95" s="1460">
        <f t="shared" si="57"/>
        <v>1850848646</v>
      </c>
      <c r="CR95" s="1460">
        <f t="shared" si="57"/>
        <v>1570556307.7266667</v>
      </c>
      <c r="CS95" s="1460">
        <f t="shared" si="57"/>
        <v>1548710168</v>
      </c>
      <c r="CT95" s="1460">
        <f t="shared" si="57"/>
        <v>1714982989.5935485</v>
      </c>
      <c r="CU95" s="1460">
        <f t="shared" si="57"/>
        <v>1745508384</v>
      </c>
      <c r="CV95" s="1460">
        <f t="shared" si="57"/>
        <v>1824791787.0666666</v>
      </c>
      <c r="CW95" s="1460">
        <f t="shared" si="57"/>
        <v>1786006304</v>
      </c>
      <c r="CX95" s="1460">
        <f t="shared" si="57"/>
        <v>1715618096.2854893</v>
      </c>
      <c r="CY95" s="1460">
        <f t="shared" si="57"/>
        <v>1738531477</v>
      </c>
      <c r="CZ95" s="1460">
        <f t="shared" si="57"/>
        <v>1875893718.280328</v>
      </c>
      <c r="DA95" s="1460">
        <f t="shared" si="57"/>
        <v>1888333523</v>
      </c>
      <c r="DB95" s="1460">
        <f t="shared" si="57"/>
        <v>1961963281.4880698</v>
      </c>
      <c r="DC95" s="1460">
        <f t="shared" si="57"/>
        <v>1996424456.5161285</v>
      </c>
      <c r="DD95" s="1460">
        <f t="shared" si="57"/>
        <v>2037199735.024199</v>
      </c>
      <c r="DE95" s="1460">
        <f t="shared" si="57"/>
        <v>2055350915</v>
      </c>
      <c r="DF95" s="1460">
        <f t="shared" si="57"/>
        <v>1850092213.3919411</v>
      </c>
      <c r="DG95" s="1460">
        <f t="shared" si="57"/>
        <v>1849087418</v>
      </c>
      <c r="DH95" s="1460">
        <f t="shared" si="57"/>
        <v>1770004985.6777472</v>
      </c>
      <c r="DI95" s="1460">
        <f t="shared" si="57"/>
        <v>1770081985</v>
      </c>
      <c r="DJ95" s="1460">
        <f>SUM(DK91:DK93)</f>
        <v>2022685280</v>
      </c>
      <c r="DK95" s="1460">
        <f t="shared" si="57"/>
        <v>2022685280</v>
      </c>
      <c r="DL95" s="1460">
        <f>SUM(DK91:DK93)</f>
        <v>2022685280</v>
      </c>
      <c r="DM95" s="1460">
        <f t="shared" si="57"/>
        <v>1820098692</v>
      </c>
      <c r="DN95" s="1460">
        <f t="shared" si="57"/>
        <v>1946744687.054301</v>
      </c>
      <c r="DO95" s="1460">
        <f t="shared" si="57"/>
        <v>1857488238.666666</v>
      </c>
      <c r="DP95" s="1460">
        <f t="shared" si="57"/>
        <v>1627083733.9833333</v>
      </c>
      <c r="DQ95" s="1460">
        <f t="shared" si="57"/>
        <v>1549156069.333334</v>
      </c>
      <c r="DR95" s="1460">
        <f t="shared" si="57"/>
        <v>1714781497.5333333</v>
      </c>
      <c r="DS95" s="1460">
        <f t="shared" si="57"/>
        <v>1649679899</v>
      </c>
      <c r="DT95" s="1460">
        <f t="shared" si="57"/>
        <v>1858909664.5166667</v>
      </c>
      <c r="DU95" s="1460">
        <f t="shared" si="57"/>
        <v>1781469732</v>
      </c>
      <c r="DV95" s="1460">
        <f t="shared" si="57"/>
        <v>1977862175.1600053</v>
      </c>
      <c r="DW95" s="1460">
        <f t="shared" si="57"/>
        <v>1897826128</v>
      </c>
      <c r="DX95" s="1460">
        <f t="shared" si="57"/>
        <v>1869509106.0813625</v>
      </c>
      <c r="DY95" s="1460">
        <f t="shared" si="57"/>
        <v>1861419182</v>
      </c>
      <c r="DZ95" s="1460">
        <f t="shared" si="57"/>
        <v>1959641746.6551669</v>
      </c>
      <c r="EA95" s="1460">
        <f t="shared" si="57"/>
        <v>1952468653</v>
      </c>
      <c r="EB95" s="1460">
        <f t="shared" si="57"/>
        <v>1684612440.9471021</v>
      </c>
      <c r="EC95" s="1460">
        <f t="shared" si="57"/>
        <v>1828623548</v>
      </c>
      <c r="ED95" s="1460">
        <f t="shared" si="57"/>
        <v>1654545776.350328</v>
      </c>
      <c r="EE95" s="1460">
        <f t="shared" si="57"/>
        <v>1560871792</v>
      </c>
      <c r="EF95" s="1460">
        <f t="shared" si="57"/>
        <v>1874752086.8406503</v>
      </c>
      <c r="EG95" s="1460">
        <f t="shared" si="57"/>
        <v>1881738949</v>
      </c>
      <c r="EH95" s="1460">
        <f t="shared" si="57"/>
        <v>2012633926.9311504</v>
      </c>
      <c r="EI95" s="1460">
        <f t="shared" si="57"/>
        <v>2063377210.0000005</v>
      </c>
      <c r="EJ95" s="1460">
        <f>SUM(EJ91:EJ93)</f>
        <v>1971919940.4440207</v>
      </c>
      <c r="EK95" s="1460">
        <f t="shared" si="57"/>
        <v>2027810076.0000005</v>
      </c>
      <c r="EL95" s="1460">
        <f>SUM(EK91:EK93)</f>
        <v>2027810076.0000005</v>
      </c>
      <c r="EM95" s="1460">
        <f t="shared" si="57"/>
        <v>2018750990</v>
      </c>
      <c r="EN95" s="1460">
        <f t="shared" si="57"/>
        <v>1844876271.8321257</v>
      </c>
      <c r="EO95" s="1460">
        <f t="shared" si="57"/>
        <v>1764673524</v>
      </c>
      <c r="EP95" s="1460">
        <f t="shared" si="57"/>
        <v>1590562658.7807903</v>
      </c>
      <c r="EQ95" s="1460">
        <f t="shared" si="57"/>
        <v>1576831260.3333335</v>
      </c>
      <c r="ER95" s="1460">
        <f t="shared" ref="ER95:GC95" si="58">SUM(ER91:ER93)</f>
        <v>1685054197.9488785</v>
      </c>
      <c r="ES95" s="1460">
        <f t="shared" si="58"/>
        <v>1640203837</v>
      </c>
      <c r="ET95" s="1460">
        <f t="shared" si="58"/>
        <v>1787160279.4049256</v>
      </c>
      <c r="EU95" s="1460">
        <f t="shared" si="58"/>
        <v>1733880734</v>
      </c>
      <c r="EV95" s="1460">
        <f t="shared" si="58"/>
        <v>1700510027.0049214</v>
      </c>
      <c r="EW95" s="1460">
        <f t="shared" si="58"/>
        <v>1680258881</v>
      </c>
      <c r="EX95" s="1460">
        <f t="shared" si="58"/>
        <v>1759326298.6493735</v>
      </c>
      <c r="EY95" s="1460">
        <f t="shared" si="58"/>
        <v>1750171543</v>
      </c>
      <c r="EZ95" s="1460">
        <f t="shared" si="58"/>
        <v>1390345272.8052325</v>
      </c>
      <c r="FA95" s="1460">
        <f t="shared" si="58"/>
        <v>1335391796</v>
      </c>
      <c r="FB95" s="1460">
        <f t="shared" si="58"/>
        <v>1778137196.6150405</v>
      </c>
      <c r="FC95" s="1460">
        <f t="shared" si="58"/>
        <v>1725487661</v>
      </c>
      <c r="FD95" s="1460">
        <f t="shared" si="58"/>
        <v>1942350254.3851361</v>
      </c>
      <c r="FE95" s="1460">
        <f t="shared" si="58"/>
        <v>1688186935</v>
      </c>
      <c r="FF95" s="1460">
        <f t="shared" si="58"/>
        <v>2076373451.9302058</v>
      </c>
      <c r="FG95" s="1460">
        <f t="shared" si="58"/>
        <v>1886304575</v>
      </c>
      <c r="FH95" s="1460">
        <f t="shared" si="58"/>
        <v>2051827457.530206</v>
      </c>
      <c r="FI95" s="1460">
        <f t="shared" si="58"/>
        <v>1878151356</v>
      </c>
      <c r="FJ95" s="1460">
        <f>SUM(FJ91:FJ93)</f>
        <v>2066282286.1783862</v>
      </c>
      <c r="FK95" s="1460">
        <f t="shared" si="58"/>
        <v>1850545862</v>
      </c>
      <c r="FL95" s="1460">
        <f>SUM(FK91:FK93)</f>
        <v>1850545862</v>
      </c>
      <c r="FM95" s="1460">
        <f t="shared" si="58"/>
        <v>1772779627</v>
      </c>
      <c r="FN95" s="1460">
        <f t="shared" si="58"/>
        <v>1880442639.695966</v>
      </c>
      <c r="FO95" s="1460">
        <f t="shared" si="58"/>
        <v>1612444950</v>
      </c>
      <c r="FP95" s="1460">
        <f t="shared" si="58"/>
        <v>1911428928.3321261</v>
      </c>
      <c r="FQ95" s="1460">
        <f t="shared" si="58"/>
        <v>1692843349</v>
      </c>
      <c r="FR95" s="1460">
        <f t="shared" si="58"/>
        <v>1950980951.8831992</v>
      </c>
      <c r="FS95" s="1460">
        <f t="shared" si="58"/>
        <v>1769092903</v>
      </c>
      <c r="FT95" s="1460">
        <f t="shared" si="58"/>
        <v>1830311181.8832002</v>
      </c>
      <c r="FU95" s="1460">
        <f t="shared" si="58"/>
        <v>1784962190</v>
      </c>
      <c r="FV95" s="1460">
        <f t="shared" si="58"/>
        <v>1870278781.8832002</v>
      </c>
      <c r="FW95" s="1460">
        <f t="shared" si="58"/>
        <v>1899035913</v>
      </c>
      <c r="FX95" s="1460">
        <f t="shared" si="58"/>
        <v>1539741956.8831992</v>
      </c>
      <c r="FY95" s="1460">
        <f t="shared" si="58"/>
        <v>1539068905</v>
      </c>
      <c r="FZ95" s="1460">
        <f t="shared" si="58"/>
        <v>1403818121.065743</v>
      </c>
      <c r="GA95" s="1460">
        <f t="shared" si="58"/>
        <v>1359156633</v>
      </c>
      <c r="GB95" s="1460">
        <f t="shared" si="58"/>
        <v>0</v>
      </c>
      <c r="GC95" s="1460">
        <f t="shared" si="58"/>
        <v>0</v>
      </c>
      <c r="GD95" s="1425"/>
    </row>
    <row r="96" spans="1:186" outlineLevel="1">
      <c r="S96" s="1425"/>
      <c r="T96" s="1425"/>
      <c r="U96" s="1425"/>
      <c r="V96" s="1425"/>
      <c r="W96" s="1425"/>
      <c r="X96" s="1425"/>
      <c r="Y96" s="1425"/>
      <c r="Z96" s="1425"/>
      <c r="AA96" s="1425"/>
      <c r="AB96" s="1425"/>
      <c r="AC96" s="1425"/>
      <c r="AD96" s="1425"/>
      <c r="AE96" s="1425"/>
      <c r="AF96" s="1425"/>
      <c r="AG96" s="1425"/>
      <c r="AH96" s="1425"/>
      <c r="AI96" s="1425"/>
      <c r="AJ96" s="1425"/>
      <c r="AK96" s="1425"/>
      <c r="AL96" s="1425"/>
      <c r="AM96" s="1425"/>
      <c r="AN96" s="1425"/>
      <c r="AO96" s="1425"/>
      <c r="AP96" s="1425"/>
      <c r="AQ96" s="1425"/>
      <c r="AR96" s="1425"/>
      <c r="AS96" s="1425"/>
      <c r="AT96" s="1425"/>
      <c r="AU96" s="1425"/>
      <c r="AV96" s="1425"/>
      <c r="AW96" s="1425"/>
      <c r="AX96" s="1425"/>
      <c r="AY96" s="1425"/>
      <c r="AZ96" s="1425"/>
      <c r="BA96" s="1425"/>
      <c r="BB96" s="1425"/>
      <c r="BC96" s="1425"/>
      <c r="BD96" s="1425"/>
      <c r="BE96" s="1425"/>
      <c r="BF96" s="1425"/>
      <c r="BG96" s="1425"/>
      <c r="BH96" s="1425"/>
      <c r="BI96" s="1425"/>
      <c r="BJ96" s="1425"/>
      <c r="BK96" s="1425"/>
      <c r="BL96" s="1425"/>
      <c r="BM96" s="1425"/>
      <c r="BN96" s="1425"/>
      <c r="BO96" s="1425"/>
      <c r="BP96" s="1433">
        <f>BP95-BP94</f>
        <v>0</v>
      </c>
      <c r="BQ96" s="1433">
        <f t="shared" ref="BQ96:CK96" si="59">BQ95-BQ94</f>
        <v>0</v>
      </c>
      <c r="BR96" s="1433">
        <f t="shared" si="59"/>
        <v>0</v>
      </c>
      <c r="BS96" s="1433">
        <f t="shared" si="59"/>
        <v>0</v>
      </c>
      <c r="BT96" s="1433">
        <f t="shared" si="59"/>
        <v>0</v>
      </c>
      <c r="BU96" s="1433" t="e">
        <f t="shared" si="59"/>
        <v>#REF!</v>
      </c>
      <c r="BV96" s="1433">
        <f t="shared" si="59"/>
        <v>0</v>
      </c>
      <c r="BW96" s="1433">
        <f t="shared" si="59"/>
        <v>0</v>
      </c>
      <c r="BX96" s="1433">
        <f t="shared" si="59"/>
        <v>0</v>
      </c>
      <c r="BY96" s="1433">
        <f t="shared" si="59"/>
        <v>0</v>
      </c>
      <c r="BZ96" s="1433">
        <f t="shared" si="59"/>
        <v>0</v>
      </c>
      <c r="CA96" s="1433">
        <f t="shared" si="59"/>
        <v>0</v>
      </c>
      <c r="CB96" s="1433">
        <f t="shared" si="59"/>
        <v>0</v>
      </c>
      <c r="CC96" s="1433">
        <f t="shared" si="59"/>
        <v>0</v>
      </c>
      <c r="CD96" s="1433">
        <f t="shared" si="59"/>
        <v>0</v>
      </c>
      <c r="CE96" s="1433">
        <f t="shared" si="59"/>
        <v>0</v>
      </c>
      <c r="CF96" s="1433">
        <f t="shared" si="59"/>
        <v>0</v>
      </c>
      <c r="CG96" s="1433">
        <f t="shared" si="59"/>
        <v>0</v>
      </c>
      <c r="CH96" s="1433">
        <f t="shared" si="59"/>
        <v>0</v>
      </c>
      <c r="CI96" s="1433">
        <f t="shared" si="59"/>
        <v>0</v>
      </c>
      <c r="CJ96" s="1433">
        <f t="shared" si="59"/>
        <v>0</v>
      </c>
      <c r="CK96" s="1433">
        <f t="shared" si="59"/>
        <v>0</v>
      </c>
      <c r="CL96" s="1433">
        <f>CK95-CK94</f>
        <v>0</v>
      </c>
      <c r="CM96" s="1433">
        <f t="shared" ref="CM96:DK96" si="60">CM95-CM94</f>
        <v>0</v>
      </c>
      <c r="CN96" s="1433">
        <f t="shared" si="60"/>
        <v>0</v>
      </c>
      <c r="CO96" s="1433">
        <f t="shared" si="60"/>
        <v>0</v>
      </c>
      <c r="CP96" s="1433">
        <f t="shared" si="60"/>
        <v>0</v>
      </c>
      <c r="CQ96" s="1433">
        <f t="shared" si="60"/>
        <v>0</v>
      </c>
      <c r="CR96" s="1433">
        <f t="shared" si="60"/>
        <v>0</v>
      </c>
      <c r="CS96" s="1433">
        <f t="shared" si="60"/>
        <v>0</v>
      </c>
      <c r="CT96" s="1433">
        <f t="shared" si="60"/>
        <v>0</v>
      </c>
      <c r="CU96" s="1433">
        <f t="shared" si="60"/>
        <v>0</v>
      </c>
      <c r="CV96" s="1433">
        <f t="shared" si="60"/>
        <v>0</v>
      </c>
      <c r="CW96" s="1433">
        <f t="shared" si="60"/>
        <v>0</v>
      </c>
      <c r="CX96" s="1433">
        <f t="shared" si="60"/>
        <v>0</v>
      </c>
      <c r="CY96" s="1433">
        <f t="shared" si="60"/>
        <v>0</v>
      </c>
      <c r="CZ96" s="1433">
        <f t="shared" si="60"/>
        <v>0</v>
      </c>
      <c r="DA96" s="1433">
        <f t="shared" si="60"/>
        <v>0</v>
      </c>
      <c r="DB96" s="1433">
        <f t="shared" si="60"/>
        <v>0</v>
      </c>
      <c r="DC96" s="1433">
        <f t="shared" si="60"/>
        <v>0</v>
      </c>
      <c r="DD96" s="1433">
        <f t="shared" si="60"/>
        <v>0</v>
      </c>
      <c r="DE96" s="1433">
        <f t="shared" si="60"/>
        <v>0</v>
      </c>
      <c r="DF96" s="1433">
        <f t="shared" si="60"/>
        <v>0</v>
      </c>
      <c r="DG96" s="1433">
        <f t="shared" si="60"/>
        <v>0</v>
      </c>
      <c r="DH96" s="1433">
        <f t="shared" si="60"/>
        <v>0</v>
      </c>
      <c r="DI96" s="1433">
        <f t="shared" si="60"/>
        <v>0</v>
      </c>
      <c r="DJ96" s="1433">
        <f t="shared" si="60"/>
        <v>-144852908.33366108</v>
      </c>
      <c r="DK96" s="1433">
        <f t="shared" si="60"/>
        <v>0</v>
      </c>
      <c r="DL96" s="1433">
        <f>DK95-DK94</f>
        <v>0</v>
      </c>
      <c r="DM96" s="1433">
        <f t="shared" ref="DM96:EK96" si="61">DM95-DM94</f>
        <v>0</v>
      </c>
      <c r="DN96" s="1433">
        <f t="shared" si="61"/>
        <v>0</v>
      </c>
      <c r="DO96" s="1433">
        <f t="shared" si="61"/>
        <v>0</v>
      </c>
      <c r="DP96" s="1433">
        <f t="shared" si="61"/>
        <v>0</v>
      </c>
      <c r="DQ96" s="1433">
        <f t="shared" si="61"/>
        <v>0</v>
      </c>
      <c r="DR96" s="1433">
        <f t="shared" si="61"/>
        <v>0</v>
      </c>
      <c r="DS96" s="1433">
        <f t="shared" si="61"/>
        <v>0</v>
      </c>
      <c r="DT96" s="1433">
        <f t="shared" si="61"/>
        <v>0</v>
      </c>
      <c r="DU96" s="1433">
        <f t="shared" si="61"/>
        <v>0</v>
      </c>
      <c r="DV96" s="1433">
        <f t="shared" si="61"/>
        <v>0</v>
      </c>
      <c r="DW96" s="1433">
        <f t="shared" si="61"/>
        <v>0</v>
      </c>
      <c r="DX96" s="1433">
        <f t="shared" si="61"/>
        <v>0</v>
      </c>
      <c r="DY96" s="1433">
        <f t="shared" si="61"/>
        <v>0</v>
      </c>
      <c r="DZ96" s="1433">
        <f t="shared" si="61"/>
        <v>0</v>
      </c>
      <c r="EA96" s="1433">
        <f t="shared" si="61"/>
        <v>0</v>
      </c>
      <c r="EB96" s="1433">
        <f t="shared" si="61"/>
        <v>0</v>
      </c>
      <c r="EC96" s="1433">
        <f t="shared" si="61"/>
        <v>0</v>
      </c>
      <c r="ED96" s="1433">
        <f t="shared" si="61"/>
        <v>0</v>
      </c>
      <c r="EE96" s="1433">
        <f t="shared" si="61"/>
        <v>0</v>
      </c>
      <c r="EF96" s="1433">
        <f t="shared" si="61"/>
        <v>0</v>
      </c>
      <c r="EG96" s="1433">
        <f t="shared" si="61"/>
        <v>0</v>
      </c>
      <c r="EH96" s="1433">
        <f t="shared" si="61"/>
        <v>-9.5367431640625E-6</v>
      </c>
      <c r="EI96" s="1433">
        <f t="shared" si="61"/>
        <v>0</v>
      </c>
      <c r="EJ96" s="1433">
        <f t="shared" si="61"/>
        <v>0</v>
      </c>
      <c r="EK96" s="1433">
        <f t="shared" si="61"/>
        <v>0</v>
      </c>
      <c r="EL96" s="1433">
        <f>EK95-EK94</f>
        <v>0</v>
      </c>
      <c r="EM96" s="1433">
        <f t="shared" ref="EM96:FK96" si="62">EM95-EM94</f>
        <v>0</v>
      </c>
      <c r="EN96" s="1433">
        <f t="shared" si="62"/>
        <v>-4.291534423828125E-6</v>
      </c>
      <c r="EO96" s="1433">
        <f t="shared" si="62"/>
        <v>0</v>
      </c>
      <c r="EP96" s="1433">
        <f t="shared" si="62"/>
        <v>0</v>
      </c>
      <c r="EQ96" s="1433">
        <f t="shared" si="62"/>
        <v>0</v>
      </c>
      <c r="ER96" s="1433">
        <f t="shared" si="62"/>
        <v>0</v>
      </c>
      <c r="ES96" s="1433">
        <f t="shared" si="62"/>
        <v>0</v>
      </c>
      <c r="ET96" s="1433">
        <f t="shared" si="62"/>
        <v>-4.5299530029296875E-6</v>
      </c>
      <c r="EU96" s="1433">
        <f t="shared" si="62"/>
        <v>0</v>
      </c>
      <c r="EV96" s="1433">
        <f t="shared" si="62"/>
        <v>0</v>
      </c>
      <c r="EW96" s="1433">
        <f t="shared" si="62"/>
        <v>0</v>
      </c>
      <c r="EX96" s="1433">
        <f t="shared" si="62"/>
        <v>3.5762786865234375E-6</v>
      </c>
      <c r="EY96" s="1433">
        <f t="shared" si="62"/>
        <v>0</v>
      </c>
      <c r="EZ96" s="1433">
        <f t="shared" si="62"/>
        <v>2.6226043701171875E-6</v>
      </c>
      <c r="FA96" s="1433">
        <f t="shared" si="62"/>
        <v>0</v>
      </c>
      <c r="FB96" s="1433">
        <f t="shared" si="62"/>
        <v>0</v>
      </c>
      <c r="FC96" s="1433">
        <f t="shared" si="62"/>
        <v>0</v>
      </c>
      <c r="FD96" s="1433">
        <f t="shared" si="62"/>
        <v>-3.814697265625E-6</v>
      </c>
      <c r="FE96" s="1433">
        <f t="shared" si="62"/>
        <v>0</v>
      </c>
      <c r="FF96" s="1433">
        <f t="shared" si="62"/>
        <v>-4.291534423828125E-6</v>
      </c>
      <c r="FG96" s="1433">
        <f t="shared" si="62"/>
        <v>0</v>
      </c>
      <c r="FH96" s="1433">
        <f t="shared" si="62"/>
        <v>-4.0531158447265625E-6</v>
      </c>
      <c r="FI96" s="1433">
        <f t="shared" si="62"/>
        <v>0</v>
      </c>
      <c r="FJ96" s="1433">
        <f t="shared" si="62"/>
        <v>-3.814697265625E-6</v>
      </c>
      <c r="FK96" s="1433">
        <f t="shared" si="62"/>
        <v>0</v>
      </c>
      <c r="FL96" s="1433">
        <f>FK95-FK94</f>
        <v>0</v>
      </c>
      <c r="FM96" s="1433">
        <f t="shared" ref="FM96:GC96" si="63">FM95-FM94</f>
        <v>0</v>
      </c>
      <c r="FN96" s="1433">
        <f t="shared" si="63"/>
        <v>0</v>
      </c>
      <c r="FO96" s="1433">
        <f t="shared" si="63"/>
        <v>0</v>
      </c>
      <c r="FP96" s="1433">
        <f t="shared" si="63"/>
        <v>6.198883056640625E-6</v>
      </c>
      <c r="FQ96" s="1433">
        <f t="shared" si="63"/>
        <v>0</v>
      </c>
      <c r="FR96" s="1433">
        <f t="shared" si="63"/>
        <v>0</v>
      </c>
      <c r="FS96" s="1433">
        <f t="shared" si="63"/>
        <v>0</v>
      </c>
      <c r="FT96" s="1433">
        <f t="shared" si="63"/>
        <v>0</v>
      </c>
      <c r="FU96" s="1433">
        <f t="shared" si="63"/>
        <v>0</v>
      </c>
      <c r="FV96" s="1433">
        <f t="shared" si="63"/>
        <v>0</v>
      </c>
      <c r="FW96" s="1433">
        <f t="shared" si="63"/>
        <v>0</v>
      </c>
      <c r="FX96" s="1433">
        <f t="shared" si="63"/>
        <v>0</v>
      </c>
      <c r="FY96" s="1433">
        <f t="shared" si="63"/>
        <v>0</v>
      </c>
      <c r="FZ96" s="1433">
        <f t="shared" si="63"/>
        <v>2.86102294921875E-6</v>
      </c>
      <c r="GA96" s="1433">
        <f t="shared" si="63"/>
        <v>0</v>
      </c>
      <c r="GB96" s="1433">
        <f t="shared" si="63"/>
        <v>0</v>
      </c>
      <c r="GC96" s="1433">
        <f t="shared" si="63"/>
        <v>0</v>
      </c>
    </row>
    <row r="97" spans="1:187" outlineLevel="1">
      <c r="S97" s="1425"/>
      <c r="T97" s="1425"/>
      <c r="U97" s="1425"/>
      <c r="V97" s="1425"/>
      <c r="W97" s="1425"/>
      <c r="X97" s="1425"/>
      <c r="Y97" s="1425"/>
      <c r="Z97" s="1425"/>
      <c r="AA97" s="1425"/>
      <c r="AB97" s="1425"/>
      <c r="AC97" s="1425"/>
      <c r="AD97" s="1425"/>
      <c r="AE97" s="1425"/>
      <c r="AF97" s="1425"/>
      <c r="AG97" s="1425"/>
      <c r="AH97" s="1425"/>
      <c r="AI97" s="1425"/>
      <c r="AJ97" s="1425"/>
      <c r="AK97" s="1425"/>
      <c r="AL97" s="1425"/>
      <c r="AM97" s="1425"/>
      <c r="AN97" s="1425"/>
      <c r="AO97" s="1425"/>
      <c r="AP97" s="1425"/>
      <c r="AQ97" s="1425"/>
      <c r="AR97" s="1462"/>
      <c r="AS97" s="1425"/>
      <c r="AT97" s="1462"/>
      <c r="AU97" s="1425"/>
      <c r="AV97" s="1462"/>
      <c r="AW97" s="1425"/>
      <c r="AX97" s="1462"/>
      <c r="AY97" s="1425"/>
      <c r="AZ97" s="1462"/>
      <c r="BA97" s="1425"/>
      <c r="BB97" s="1462"/>
      <c r="BC97" s="1425"/>
      <c r="BD97" s="1462"/>
      <c r="BE97" s="1425"/>
      <c r="BF97" s="1462"/>
      <c r="BG97" s="1425"/>
      <c r="BH97" s="1462"/>
      <c r="BI97" s="1425"/>
      <c r="BJ97" s="1462"/>
      <c r="BK97" s="1425"/>
      <c r="BL97" s="1462"/>
      <c r="BM97" s="1425"/>
      <c r="BN97" s="1462"/>
      <c r="BO97" s="1425"/>
      <c r="BP97" s="1462"/>
      <c r="BQ97" s="1425"/>
      <c r="BR97" s="1462"/>
      <c r="BS97" s="1425"/>
      <c r="BT97" s="1462"/>
      <c r="BU97" s="1425"/>
      <c r="BV97" s="1462"/>
      <c r="BW97" s="1425"/>
      <c r="BX97" s="1462"/>
      <c r="BY97" s="1425"/>
      <c r="BZ97" s="1425"/>
      <c r="CA97" s="1425"/>
      <c r="CB97" s="1425"/>
      <c r="CC97" s="1425"/>
      <c r="CD97" s="1425"/>
      <c r="CE97" s="1425"/>
      <c r="CF97" s="1425"/>
      <c r="CG97" s="1425"/>
      <c r="CH97" s="1425"/>
      <c r="CI97" s="1425"/>
      <c r="CJ97" s="1425"/>
      <c r="CK97" s="1425"/>
      <c r="CL97" s="1425"/>
      <c r="CM97" s="1425"/>
      <c r="CN97" s="1425"/>
      <c r="CO97" s="1425"/>
      <c r="CP97" s="1425"/>
      <c r="CQ97" s="1425"/>
      <c r="CR97" s="1425"/>
      <c r="CS97" s="1425"/>
      <c r="CT97" s="1425"/>
      <c r="CU97" s="1425"/>
      <c r="CV97" s="1425"/>
      <c r="CW97" s="1425"/>
      <c r="CX97" s="1425"/>
      <c r="CY97" s="1425"/>
      <c r="CZ97" s="1425"/>
      <c r="DA97" s="1425"/>
      <c r="DB97" s="1425"/>
      <c r="DC97" s="1425"/>
      <c r="DD97" s="1425"/>
      <c r="DE97" s="1425"/>
      <c r="DF97" s="1425"/>
      <c r="DG97" s="1425"/>
      <c r="DH97" s="1425"/>
      <c r="DI97" s="1425"/>
      <c r="DJ97" s="1425"/>
      <c r="DK97" s="1425"/>
      <c r="DL97" s="1425"/>
      <c r="DM97" s="1425"/>
      <c r="DN97" s="1425"/>
      <c r="DO97" s="1425"/>
      <c r="DP97" s="1425"/>
      <c r="DQ97" s="1425"/>
      <c r="DR97" s="1425"/>
      <c r="DS97" s="1425"/>
      <c r="DT97" s="1425"/>
      <c r="DU97" s="1425"/>
      <c r="DV97" s="1425"/>
      <c r="DW97" s="1425"/>
      <c r="DX97" s="1425"/>
      <c r="DY97" s="1425"/>
      <c r="DZ97" s="1425"/>
      <c r="EA97" s="1425"/>
      <c r="EB97" s="1425"/>
      <c r="EC97" s="1425"/>
      <c r="ED97" s="1425"/>
      <c r="EE97" s="1425"/>
      <c r="EF97" s="1425"/>
      <c r="EG97" s="1425"/>
      <c r="EH97" s="1425"/>
      <c r="EI97" s="1425"/>
      <c r="EJ97" s="1425"/>
      <c r="EK97" s="1425"/>
      <c r="EL97" s="1425"/>
      <c r="EM97" s="1425"/>
      <c r="EN97" s="1425"/>
      <c r="EO97" s="1425"/>
      <c r="EP97" s="1425"/>
      <c r="EQ97" s="1425"/>
      <c r="ER97" s="1425"/>
      <c r="ES97" s="1425"/>
      <c r="ET97" s="1425"/>
      <c r="EU97" s="1425"/>
      <c r="EV97" s="1425"/>
      <c r="EW97" s="1425"/>
      <c r="EX97" s="1425"/>
      <c r="EY97" s="1425"/>
      <c r="EZ97" s="1425"/>
      <c r="FA97" s="1425"/>
      <c r="FB97" s="1425"/>
      <c r="FC97" s="1425"/>
      <c r="FD97" s="1425"/>
      <c r="FE97" s="1425"/>
      <c r="FF97" s="1425"/>
      <c r="FG97" s="1425"/>
      <c r="FH97" s="1425"/>
      <c r="FI97" s="1425"/>
      <c r="FJ97" s="1425"/>
      <c r="FK97" s="1425"/>
      <c r="FL97" s="1425"/>
      <c r="FM97" s="1425"/>
      <c r="FN97" s="1425"/>
      <c r="FO97" s="1425"/>
      <c r="FP97" s="1425"/>
      <c r="FQ97" s="1425"/>
      <c r="FR97" s="1425"/>
      <c r="FS97" s="1425"/>
      <c r="FT97" s="1425"/>
      <c r="FU97" s="1425"/>
      <c r="FV97" s="1425"/>
      <c r="FW97" s="1425"/>
      <c r="FX97" s="1425"/>
    </row>
    <row r="98" spans="1:187" ht="15.75" outlineLevel="1" thickBot="1">
      <c r="S98" s="2787" t="s">
        <v>980</v>
      </c>
      <c r="T98" s="2777" t="s">
        <v>981</v>
      </c>
      <c r="U98" s="2777"/>
      <c r="V98" s="2775" t="s">
        <v>2147</v>
      </c>
      <c r="W98" s="2776"/>
      <c r="X98" s="2775" t="s">
        <v>2030</v>
      </c>
      <c r="Y98" s="2776"/>
      <c r="Z98" s="2781" t="s">
        <v>1689</v>
      </c>
      <c r="AA98" s="2789"/>
      <c r="AB98" s="2805" t="s">
        <v>1688</v>
      </c>
      <c r="AC98" s="2806"/>
      <c r="AD98" s="2789" t="s">
        <v>923</v>
      </c>
      <c r="AE98" s="2783"/>
      <c r="AF98" s="2781" t="s">
        <v>982</v>
      </c>
      <c r="AG98" s="2783"/>
      <c r="AH98" s="2781" t="s">
        <v>518</v>
      </c>
      <c r="AI98" s="2783"/>
      <c r="AJ98" s="2781" t="s">
        <v>983</v>
      </c>
      <c r="AK98" s="2783"/>
      <c r="AL98" s="2781" t="s">
        <v>984</v>
      </c>
      <c r="AM98" s="2783"/>
      <c r="AN98" s="2781" t="s">
        <v>508</v>
      </c>
      <c r="AO98" s="2783"/>
      <c r="AP98" s="2784" t="s">
        <v>985</v>
      </c>
      <c r="AQ98" s="2785"/>
      <c r="AR98" s="2784" t="s">
        <v>504</v>
      </c>
      <c r="AS98" s="2785"/>
      <c r="AT98" s="2781" t="s">
        <v>986</v>
      </c>
      <c r="AU98" s="2783"/>
      <c r="AV98" s="2784" t="s">
        <v>926</v>
      </c>
      <c r="AW98" s="2785"/>
      <c r="AX98" s="2784" t="s">
        <v>987</v>
      </c>
      <c r="AY98" s="2785"/>
      <c r="AZ98" s="2784" t="s">
        <v>988</v>
      </c>
      <c r="BA98" s="2785"/>
      <c r="BB98" s="2784" t="s">
        <v>492</v>
      </c>
      <c r="BC98" s="2785"/>
      <c r="BD98" s="2784" t="s">
        <v>930</v>
      </c>
      <c r="BE98" s="2785"/>
      <c r="BF98" s="2784" t="s">
        <v>931</v>
      </c>
      <c r="BG98" s="2785"/>
      <c r="BH98" s="2784" t="s">
        <v>932</v>
      </c>
      <c r="BI98" s="2785"/>
      <c r="BJ98" s="2784" t="s">
        <v>933</v>
      </c>
      <c r="BK98" s="2783"/>
      <c r="BL98" s="2784" t="s">
        <v>989</v>
      </c>
      <c r="BM98" s="2783"/>
      <c r="BN98" s="2784" t="s">
        <v>990</v>
      </c>
      <c r="BO98" s="2783"/>
      <c r="BP98" s="2784" t="s">
        <v>936</v>
      </c>
      <c r="BQ98" s="2783"/>
      <c r="BR98" s="2784" t="s">
        <v>937</v>
      </c>
      <c r="BS98" s="2785"/>
      <c r="BT98" s="2781" t="s">
        <v>991</v>
      </c>
      <c r="BU98" s="2783"/>
      <c r="BV98" s="2784" t="s">
        <v>939</v>
      </c>
      <c r="BW98" s="2782"/>
      <c r="BX98" s="2781" t="s">
        <v>940</v>
      </c>
      <c r="BY98" s="2782"/>
      <c r="BZ98" s="2781" t="s">
        <v>992</v>
      </c>
      <c r="CA98" s="2782"/>
      <c r="CB98" s="2781" t="s">
        <v>941</v>
      </c>
      <c r="CC98" s="2782"/>
      <c r="CD98" s="2781" t="s">
        <v>942</v>
      </c>
      <c r="CE98" s="2782"/>
      <c r="CF98" s="2781" t="s">
        <v>943</v>
      </c>
      <c r="CG98" s="2782"/>
      <c r="CH98" s="2781" t="s">
        <v>993</v>
      </c>
      <c r="CI98" s="2782"/>
      <c r="CJ98" s="2781" t="s">
        <v>994</v>
      </c>
      <c r="CK98" s="2782"/>
      <c r="CL98" s="2781" t="s">
        <v>946</v>
      </c>
      <c r="CM98" s="2782"/>
      <c r="CN98" s="2781" t="s">
        <v>947</v>
      </c>
      <c r="CO98" s="2782"/>
      <c r="CP98" s="2781" t="s">
        <v>948</v>
      </c>
      <c r="CQ98" s="2782"/>
      <c r="CR98" s="2781" t="s">
        <v>949</v>
      </c>
      <c r="CS98" s="2782"/>
      <c r="CT98" s="2781" t="s">
        <v>995</v>
      </c>
      <c r="CU98" s="2782"/>
      <c r="CV98" s="2781" t="s">
        <v>951</v>
      </c>
      <c r="CW98" s="2782"/>
      <c r="CX98" s="2781" t="s">
        <v>996</v>
      </c>
      <c r="CY98" s="2782"/>
      <c r="CZ98" s="2781" t="s">
        <v>997</v>
      </c>
      <c r="DA98" s="2782"/>
      <c r="DB98" s="2781" t="s">
        <v>954</v>
      </c>
      <c r="DC98" s="2782"/>
      <c r="DD98" s="2781" t="s">
        <v>955</v>
      </c>
      <c r="DE98" s="2782"/>
      <c r="DF98" s="2781" t="s">
        <v>956</v>
      </c>
      <c r="DG98" s="2782"/>
      <c r="DH98" s="2781" t="s">
        <v>957</v>
      </c>
      <c r="DI98" s="2782"/>
      <c r="DJ98" s="2781" t="s">
        <v>998</v>
      </c>
      <c r="DK98" s="2782"/>
      <c r="DL98" s="2781" t="s">
        <v>999</v>
      </c>
      <c r="DM98" s="2782"/>
      <c r="DN98" s="2781" t="s">
        <v>1000</v>
      </c>
      <c r="DO98" s="2782"/>
      <c r="DP98" s="2781" t="s">
        <v>961</v>
      </c>
      <c r="DQ98" s="2782"/>
      <c r="DR98" s="2779" t="s">
        <v>1001</v>
      </c>
      <c r="DS98" s="2780"/>
      <c r="DT98" s="2779" t="s">
        <v>963</v>
      </c>
      <c r="DU98" s="2780"/>
      <c r="DV98" s="2779" t="s">
        <v>964</v>
      </c>
      <c r="DW98" s="2780"/>
      <c r="DX98" s="2779" t="s">
        <v>1002</v>
      </c>
      <c r="DY98" s="2780"/>
      <c r="DZ98" s="2779" t="s">
        <v>824</v>
      </c>
      <c r="EA98" s="2780"/>
      <c r="EB98" s="2779" t="s">
        <v>965</v>
      </c>
      <c r="EC98" s="2780"/>
      <c r="ED98" s="2779" t="s">
        <v>1003</v>
      </c>
      <c r="EE98" s="2780"/>
      <c r="EF98" s="2779" t="s">
        <v>826</v>
      </c>
      <c r="EG98" s="2780"/>
      <c r="EH98" s="2779" t="s">
        <v>1004</v>
      </c>
      <c r="EI98" s="2780"/>
      <c r="EJ98" s="2779" t="s">
        <v>250</v>
      </c>
      <c r="EK98" s="2780"/>
      <c r="EL98" s="2779" t="s">
        <v>1005</v>
      </c>
      <c r="EM98" s="2780"/>
      <c r="EN98" s="2779" t="s">
        <v>1006</v>
      </c>
      <c r="EO98" s="2780"/>
      <c r="EP98" s="2779" t="s">
        <v>827</v>
      </c>
      <c r="EQ98" s="2780"/>
      <c r="ER98" s="2779" t="s">
        <v>251</v>
      </c>
      <c r="ES98" s="2780"/>
      <c r="ET98" s="2778" t="s">
        <v>967</v>
      </c>
      <c r="EU98" s="2777"/>
      <c r="EV98" s="2778" t="s">
        <v>968</v>
      </c>
      <c r="EW98" s="2777"/>
      <c r="EX98" s="2778" t="s">
        <v>969</v>
      </c>
      <c r="EY98" s="2777"/>
      <c r="EZ98" s="2778" t="s">
        <v>970</v>
      </c>
      <c r="FA98" s="2777"/>
      <c r="FB98" s="2778" t="s">
        <v>829</v>
      </c>
      <c r="FC98" s="2777"/>
      <c r="FD98" s="2778" t="s">
        <v>830</v>
      </c>
      <c r="FE98" s="2777"/>
      <c r="FF98" s="2778" t="s">
        <v>1007</v>
      </c>
      <c r="FG98" s="2777"/>
      <c r="FH98" s="2778" t="s">
        <v>1008</v>
      </c>
      <c r="FI98" s="2777"/>
      <c r="FJ98" s="2778" t="s">
        <v>1009</v>
      </c>
      <c r="FK98" s="2777"/>
      <c r="FL98" s="2778" t="s">
        <v>252</v>
      </c>
      <c r="FM98" s="2777"/>
      <c r="FN98" s="2778" t="s">
        <v>831</v>
      </c>
      <c r="FO98" s="2777"/>
      <c r="FP98" s="2778" t="s">
        <v>1010</v>
      </c>
      <c r="FQ98" s="2777"/>
      <c r="FR98" s="2778" t="s">
        <v>1011</v>
      </c>
      <c r="FS98" s="2777"/>
      <c r="FT98" s="2778" t="s">
        <v>253</v>
      </c>
      <c r="FU98" s="2777"/>
      <c r="FV98" s="2778" t="s">
        <v>1012</v>
      </c>
      <c r="FW98" s="2777"/>
      <c r="FX98" s="2777" t="s">
        <v>1013</v>
      </c>
      <c r="FY98" s="2777"/>
      <c r="FZ98" s="2777" t="s">
        <v>244</v>
      </c>
      <c r="GA98" s="2777"/>
      <c r="GB98" s="2778" t="s">
        <v>1014</v>
      </c>
      <c r="GC98" s="2777"/>
      <c r="GD98" s="1425"/>
    </row>
    <row r="99" spans="1:187" outlineLevel="1">
      <c r="S99" s="2787"/>
      <c r="T99" s="1444" t="s">
        <v>972</v>
      </c>
      <c r="U99" s="1463" t="s">
        <v>977</v>
      </c>
      <c r="V99" s="1464" t="s">
        <v>972</v>
      </c>
      <c r="W99" s="1465" t="s">
        <v>973</v>
      </c>
      <c r="X99" s="1464" t="s">
        <v>972</v>
      </c>
      <c r="Y99" s="1465" t="s">
        <v>973</v>
      </c>
      <c r="Z99" s="1466" t="s">
        <v>972</v>
      </c>
      <c r="AA99" s="1465" t="s">
        <v>973</v>
      </c>
      <c r="AB99" s="1467" t="s">
        <v>245</v>
      </c>
      <c r="AC99" s="1465" t="s">
        <v>246</v>
      </c>
      <c r="AD99" s="1464" t="s">
        <v>972</v>
      </c>
      <c r="AE99" s="1465" t="s">
        <v>973</v>
      </c>
      <c r="AF99" s="1466" t="s">
        <v>972</v>
      </c>
      <c r="AG99" s="1465" t="s">
        <v>973</v>
      </c>
      <c r="AH99" s="1466" t="s">
        <v>972</v>
      </c>
      <c r="AI99" s="1465" t="s">
        <v>973</v>
      </c>
      <c r="AJ99" s="1466" t="s">
        <v>972</v>
      </c>
      <c r="AK99" s="1465" t="s">
        <v>973</v>
      </c>
      <c r="AL99" s="1466" t="s">
        <v>972</v>
      </c>
      <c r="AM99" s="1465" t="s">
        <v>973</v>
      </c>
      <c r="AN99" s="1466" t="s">
        <v>976</v>
      </c>
      <c r="AO99" s="1465" t="s">
        <v>973</v>
      </c>
      <c r="AP99" s="1468" t="s">
        <v>972</v>
      </c>
      <c r="AQ99" s="1465" t="s">
        <v>973</v>
      </c>
      <c r="AR99" s="1444" t="s">
        <v>972</v>
      </c>
      <c r="AS99" s="1465" t="s">
        <v>977</v>
      </c>
      <c r="AT99" s="1444" t="s">
        <v>976</v>
      </c>
      <c r="AU99" s="1444" t="s">
        <v>973</v>
      </c>
      <c r="AV99" s="1444" t="s">
        <v>976</v>
      </c>
      <c r="AW99" s="1444" t="s">
        <v>973</v>
      </c>
      <c r="AX99" s="1444" t="s">
        <v>976</v>
      </c>
      <c r="AY99" s="1444" t="s">
        <v>977</v>
      </c>
      <c r="AZ99" s="1444" t="s">
        <v>976</v>
      </c>
      <c r="BA99" s="1444" t="s">
        <v>973</v>
      </c>
      <c r="BB99" s="1444" t="s">
        <v>976</v>
      </c>
      <c r="BC99" s="1444" t="s">
        <v>973</v>
      </c>
      <c r="BD99" s="1444" t="s">
        <v>976</v>
      </c>
      <c r="BE99" s="1444" t="s">
        <v>973</v>
      </c>
      <c r="BF99" s="1444" t="s">
        <v>972</v>
      </c>
      <c r="BG99" s="1444" t="s">
        <v>973</v>
      </c>
      <c r="BH99" s="1444" t="s">
        <v>972</v>
      </c>
      <c r="BI99" s="1465" t="s">
        <v>977</v>
      </c>
      <c r="BJ99" s="1444" t="s">
        <v>972</v>
      </c>
      <c r="BK99" s="1465" t="s">
        <v>977</v>
      </c>
      <c r="BL99" s="1444" t="s">
        <v>972</v>
      </c>
      <c r="BM99" s="1465" t="s">
        <v>977</v>
      </c>
      <c r="BN99" s="1444" t="s">
        <v>972</v>
      </c>
      <c r="BO99" s="1465" t="s">
        <v>973</v>
      </c>
      <c r="BP99" s="1444" t="s">
        <v>972</v>
      </c>
      <c r="BQ99" s="1465" t="s">
        <v>973</v>
      </c>
      <c r="BR99" s="1444" t="s">
        <v>972</v>
      </c>
      <c r="BS99" s="1465" t="s">
        <v>977</v>
      </c>
      <c r="BT99" s="1444" t="s">
        <v>976</v>
      </c>
      <c r="BU99" s="1465" t="s">
        <v>973</v>
      </c>
      <c r="BV99" s="1444" t="s">
        <v>972</v>
      </c>
      <c r="BW99" s="1469" t="s">
        <v>973</v>
      </c>
      <c r="BX99" s="1444" t="s">
        <v>976</v>
      </c>
      <c r="BY99" s="1444" t="s">
        <v>977</v>
      </c>
      <c r="BZ99" s="1444" t="s">
        <v>976</v>
      </c>
      <c r="CA99" s="1444" t="s">
        <v>977</v>
      </c>
      <c r="CB99" s="1444" t="s">
        <v>976</v>
      </c>
      <c r="CC99" s="1444" t="s">
        <v>973</v>
      </c>
      <c r="CD99" s="1444" t="s">
        <v>972</v>
      </c>
      <c r="CE99" s="1444" t="s">
        <v>973</v>
      </c>
      <c r="CF99" s="1444" t="s">
        <v>976</v>
      </c>
      <c r="CG99" s="1444" t="s">
        <v>973</v>
      </c>
      <c r="CH99" s="1444" t="s">
        <v>972</v>
      </c>
      <c r="CI99" s="1444" t="s">
        <v>973</v>
      </c>
      <c r="CJ99" s="1444" t="s">
        <v>972</v>
      </c>
      <c r="CK99" s="1444" t="s">
        <v>973</v>
      </c>
      <c r="CL99" s="1444" t="s">
        <v>976</v>
      </c>
      <c r="CM99" s="1444" t="s">
        <v>973</v>
      </c>
      <c r="CN99" s="1444" t="s">
        <v>976</v>
      </c>
      <c r="CO99" s="1444" t="s">
        <v>977</v>
      </c>
      <c r="CP99" s="1444" t="s">
        <v>976</v>
      </c>
      <c r="CQ99" s="1444" t="s">
        <v>977</v>
      </c>
      <c r="CR99" s="1444" t="s">
        <v>976</v>
      </c>
      <c r="CS99" s="1444" t="s">
        <v>977</v>
      </c>
      <c r="CT99" s="1444" t="s">
        <v>972</v>
      </c>
      <c r="CU99" s="1444" t="s">
        <v>973</v>
      </c>
      <c r="CV99" s="1444" t="s">
        <v>972</v>
      </c>
      <c r="CW99" s="1444" t="s">
        <v>977</v>
      </c>
      <c r="CX99" s="1444" t="s">
        <v>972</v>
      </c>
      <c r="CY99" s="1444" t="s">
        <v>977</v>
      </c>
      <c r="CZ99" s="1444" t="s">
        <v>972</v>
      </c>
      <c r="DA99" s="1444" t="s">
        <v>973</v>
      </c>
      <c r="DB99" s="1444" t="s">
        <v>972</v>
      </c>
      <c r="DC99" s="1444" t="s">
        <v>973</v>
      </c>
      <c r="DD99" s="1444" t="s">
        <v>972</v>
      </c>
      <c r="DE99" s="1444" t="s">
        <v>973</v>
      </c>
      <c r="DF99" s="1444" t="s">
        <v>972</v>
      </c>
      <c r="DG99" s="1444" t="s">
        <v>973</v>
      </c>
      <c r="DH99" s="1444" t="s">
        <v>972</v>
      </c>
      <c r="DI99" s="1444" t="s">
        <v>973</v>
      </c>
      <c r="DJ99" s="1444" t="s">
        <v>972</v>
      </c>
      <c r="DK99" s="1444" t="s">
        <v>973</v>
      </c>
      <c r="DL99" s="1444" t="s">
        <v>972</v>
      </c>
      <c r="DM99" s="1444" t="s">
        <v>973</v>
      </c>
      <c r="DN99" s="1444" t="s">
        <v>972</v>
      </c>
      <c r="DO99" s="1444" t="s">
        <v>973</v>
      </c>
      <c r="DP99" s="1444" t="s">
        <v>976</v>
      </c>
      <c r="DQ99" s="1444" t="s">
        <v>973</v>
      </c>
      <c r="DR99" s="1444" t="s">
        <v>972</v>
      </c>
      <c r="DS99" s="1444" t="s">
        <v>973</v>
      </c>
      <c r="DT99" s="1444" t="s">
        <v>972</v>
      </c>
      <c r="DU99" s="1444" t="s">
        <v>973</v>
      </c>
      <c r="DV99" s="1444" t="s">
        <v>972</v>
      </c>
      <c r="DW99" s="1444" t="s">
        <v>973</v>
      </c>
      <c r="DX99" s="1444" t="s">
        <v>972</v>
      </c>
      <c r="DY99" s="1444" t="s">
        <v>973</v>
      </c>
      <c r="DZ99" s="1444" t="s">
        <v>972</v>
      </c>
      <c r="EA99" s="1444" t="s">
        <v>973</v>
      </c>
      <c r="EB99" s="1444" t="s">
        <v>972</v>
      </c>
      <c r="EC99" s="1444" t="s">
        <v>977</v>
      </c>
      <c r="ED99" s="1444" t="s">
        <v>972</v>
      </c>
      <c r="EE99" s="1444" t="s">
        <v>973</v>
      </c>
      <c r="EF99" s="1444" t="s">
        <v>976</v>
      </c>
      <c r="EG99" s="1444" t="s">
        <v>973</v>
      </c>
      <c r="EH99" s="1444" t="s">
        <v>972</v>
      </c>
      <c r="EI99" s="1444" t="s">
        <v>977</v>
      </c>
      <c r="EJ99" s="1444" t="s">
        <v>976</v>
      </c>
      <c r="EK99" s="1444" t="s">
        <v>977</v>
      </c>
      <c r="EL99" s="1444" t="s">
        <v>972</v>
      </c>
      <c r="EM99" s="1444" t="s">
        <v>977</v>
      </c>
      <c r="EN99" s="1444" t="s">
        <v>972</v>
      </c>
      <c r="EO99" s="1444" t="s">
        <v>973</v>
      </c>
      <c r="EP99" s="1444" t="s">
        <v>976</v>
      </c>
      <c r="EQ99" s="1444" t="s">
        <v>973</v>
      </c>
      <c r="ER99" s="1444" t="s">
        <v>976</v>
      </c>
      <c r="ES99" s="1444" t="s">
        <v>973</v>
      </c>
      <c r="ET99" s="1444" t="s">
        <v>976</v>
      </c>
      <c r="EU99" s="1444" t="s">
        <v>973</v>
      </c>
      <c r="EV99" s="1444" t="s">
        <v>976</v>
      </c>
      <c r="EW99" s="1444" t="s">
        <v>973</v>
      </c>
      <c r="EX99" s="1444" t="s">
        <v>976</v>
      </c>
      <c r="EY99" s="1444" t="s">
        <v>973</v>
      </c>
      <c r="EZ99" s="1444" t="s">
        <v>972</v>
      </c>
      <c r="FA99" s="1444" t="s">
        <v>973</v>
      </c>
      <c r="FB99" s="1444" t="s">
        <v>976</v>
      </c>
      <c r="FC99" s="1444" t="s">
        <v>973</v>
      </c>
      <c r="FD99" s="1444" t="s">
        <v>972</v>
      </c>
      <c r="FE99" s="1444" t="s">
        <v>973</v>
      </c>
      <c r="FF99" s="1444" t="s">
        <v>972</v>
      </c>
      <c r="FG99" s="1444" t="s">
        <v>973</v>
      </c>
      <c r="FH99" s="1444" t="s">
        <v>976</v>
      </c>
      <c r="FI99" s="1444" t="s">
        <v>973</v>
      </c>
      <c r="FJ99" s="1444" t="s">
        <v>972</v>
      </c>
      <c r="FK99" s="1444" t="s">
        <v>973</v>
      </c>
      <c r="FL99" s="1444" t="s">
        <v>972</v>
      </c>
      <c r="FM99" s="1444" t="s">
        <v>977</v>
      </c>
      <c r="FN99" s="1444" t="s">
        <v>976</v>
      </c>
      <c r="FO99" s="1444" t="s">
        <v>977</v>
      </c>
      <c r="FP99" s="1444" t="s">
        <v>976</v>
      </c>
      <c r="FQ99" s="1444" t="s">
        <v>973</v>
      </c>
      <c r="FR99" s="1444" t="s">
        <v>972</v>
      </c>
      <c r="FS99" s="1444" t="s">
        <v>973</v>
      </c>
      <c r="FT99" s="1444" t="s">
        <v>972</v>
      </c>
      <c r="FU99" s="1444" t="s">
        <v>977</v>
      </c>
      <c r="FV99" s="1444" t="s">
        <v>976</v>
      </c>
      <c r="FW99" s="1444" t="s">
        <v>973</v>
      </c>
      <c r="FX99" s="1444" t="s">
        <v>976</v>
      </c>
      <c r="FY99" s="1444" t="s">
        <v>973</v>
      </c>
      <c r="FZ99" s="1444" t="s">
        <v>976</v>
      </c>
      <c r="GA99" s="1444" t="s">
        <v>973</v>
      </c>
      <c r="GB99" s="1444" t="s">
        <v>972</v>
      </c>
      <c r="GC99" s="1444" t="s">
        <v>977</v>
      </c>
      <c r="GD99" s="1425"/>
    </row>
    <row r="100" spans="1:187" outlineLevel="1">
      <c r="S100" s="1470" t="s">
        <v>1015</v>
      </c>
      <c r="T100" s="1471">
        <f>SUM(T101:T112)+T114+T119+T121</f>
        <v>9090477250.7858143</v>
      </c>
      <c r="U100" s="1472">
        <f>SUM(U101:U112)+U114+U119+U121</f>
        <v>8840345522</v>
      </c>
      <c r="V100" s="1473">
        <f>SUM(V101:V112)+V114+V119+V121</f>
        <v>1094296135.8420238</v>
      </c>
      <c r="W100" s="1474">
        <f>SUM(W101:W112)+W114+W119+W121</f>
        <v>977412020</v>
      </c>
      <c r="X100" s="1473">
        <f>SUM(X101:X112)+X114+X119+X121</f>
        <v>1083969006.7639606</v>
      </c>
      <c r="Y100" s="1474">
        <v>1085371691</v>
      </c>
      <c r="Z100" s="1475">
        <f>SUM(Z101:Z112)+Z114+Z119+Z121</f>
        <v>1009721049.8038</v>
      </c>
      <c r="AA100" s="1474">
        <v>1075152994</v>
      </c>
      <c r="AB100" s="1476">
        <v>965321750.60000002</v>
      </c>
      <c r="AC100" s="1474">
        <v>1017538738</v>
      </c>
      <c r="AD100" s="1477">
        <v>1004387288</v>
      </c>
      <c r="AE100" s="1474">
        <v>1350091727</v>
      </c>
      <c r="AF100" s="1475">
        <v>1009891631</v>
      </c>
      <c r="AG100" s="1474">
        <v>1028707984</v>
      </c>
      <c r="AH100" s="1475">
        <v>1051505102</v>
      </c>
      <c r="AI100" s="1474">
        <v>1076872006</v>
      </c>
      <c r="AJ100" s="1475">
        <v>1051426398.6180556</v>
      </c>
      <c r="AK100" s="1474">
        <v>1071787055</v>
      </c>
      <c r="AL100" s="1475">
        <v>966533340</v>
      </c>
      <c r="AM100" s="1474">
        <v>1029820358</v>
      </c>
      <c r="AN100" s="1475">
        <v>947721684</v>
      </c>
      <c r="AO100" s="1474">
        <v>1190374660</v>
      </c>
      <c r="AP100" s="1475">
        <v>983897032</v>
      </c>
      <c r="AQ100" s="1474">
        <v>1097891414</v>
      </c>
      <c r="AR100" s="1478">
        <v>1042919160</v>
      </c>
      <c r="AS100" s="1474">
        <v>1124083679</v>
      </c>
      <c r="AT100" s="1478">
        <v>1041482202</v>
      </c>
      <c r="AU100" s="1479">
        <v>1114292731</v>
      </c>
      <c r="AV100" s="1478">
        <v>1005863233</v>
      </c>
      <c r="AW100" s="1479">
        <v>1081968635</v>
      </c>
      <c r="AX100" s="1478">
        <f t="shared" ref="AX100:AY100" si="64">SUM(AX101:AX112)+AX114+AX119+AX121</f>
        <v>961982657</v>
      </c>
      <c r="AY100" s="1479">
        <f t="shared" si="64"/>
        <v>1082932982</v>
      </c>
      <c r="AZ100" s="1478">
        <v>937368109</v>
      </c>
      <c r="BA100" s="1479">
        <v>1014385177</v>
      </c>
      <c r="BB100" s="1478">
        <v>1149881186</v>
      </c>
      <c r="BC100" s="1479">
        <v>1020019543</v>
      </c>
      <c r="BD100" s="1478">
        <v>987742848</v>
      </c>
      <c r="BE100" s="1479">
        <v>1031458309</v>
      </c>
      <c r="BF100" s="1478">
        <v>1011643159</v>
      </c>
      <c r="BG100" s="1479">
        <v>1057058679</v>
      </c>
      <c r="BH100" s="1478">
        <v>990260172</v>
      </c>
      <c r="BI100" s="1474">
        <v>1075531617</v>
      </c>
      <c r="BJ100" s="1478">
        <v>950573001</v>
      </c>
      <c r="BK100" s="1474">
        <v>994456830</v>
      </c>
      <c r="BL100" s="1478">
        <f t="shared" ref="BL100:BM100" si="65">SUM(BL101:BL112)+BL114+BL119+BL121</f>
        <v>936950558</v>
      </c>
      <c r="BM100" s="1474">
        <f t="shared" si="65"/>
        <v>977890905</v>
      </c>
      <c r="BN100" s="1478">
        <v>943150059</v>
      </c>
      <c r="BO100" s="1474">
        <v>1003045435</v>
      </c>
      <c r="BP100" s="1478">
        <v>992236820</v>
      </c>
      <c r="BQ100" s="1474">
        <v>1107411053</v>
      </c>
      <c r="BR100" s="1478">
        <v>1208440529</v>
      </c>
      <c r="BS100" s="1474">
        <v>1048131082</v>
      </c>
      <c r="BT100" s="1478">
        <v>986312113</v>
      </c>
      <c r="BU100" s="1474">
        <v>1014523478</v>
      </c>
      <c r="BV100" s="1479">
        <v>926272068</v>
      </c>
      <c r="BW100" s="1480">
        <v>1001330677</v>
      </c>
      <c r="BX100" s="1479">
        <v>914816412.92627823</v>
      </c>
      <c r="BY100" s="1479">
        <v>958512790</v>
      </c>
      <c r="BZ100" s="1479">
        <v>1648593064.6664181</v>
      </c>
      <c r="CA100" s="1479">
        <v>1147336584</v>
      </c>
      <c r="CB100" s="1479">
        <v>874840845.58324766</v>
      </c>
      <c r="CC100" s="1479">
        <v>996490727</v>
      </c>
      <c r="CD100" s="1479">
        <v>1116540559.7524786</v>
      </c>
      <c r="CE100" s="1479">
        <v>996490727</v>
      </c>
      <c r="CF100" s="1479">
        <v>986221591.13573825</v>
      </c>
      <c r="CG100" s="1479">
        <v>988574058</v>
      </c>
      <c r="CH100" s="1479">
        <f>SUM(CH101:CH112)+CH114+CH119+CH121</f>
        <v>987537809.88573825</v>
      </c>
      <c r="CI100" s="1479">
        <v>1012713181</v>
      </c>
      <c r="CJ100" s="1479">
        <v>986296346.60778975</v>
      </c>
      <c r="CK100" s="1479">
        <v>930433476</v>
      </c>
      <c r="CL100" s="1479">
        <v>1021641506.266286</v>
      </c>
      <c r="CM100" s="1479">
        <v>11979894909</v>
      </c>
      <c r="CN100" s="1479">
        <v>959262116.99769723</v>
      </c>
      <c r="CO100" s="1479">
        <v>903073175</v>
      </c>
      <c r="CP100" s="1479">
        <v>943450656.85769737</v>
      </c>
      <c r="CQ100" s="1479">
        <v>914743419</v>
      </c>
      <c r="CR100" s="1479">
        <v>940949135.87769735</v>
      </c>
      <c r="CS100" s="1479">
        <v>896758443</v>
      </c>
      <c r="CT100" s="1479">
        <v>900702445.83769727</v>
      </c>
      <c r="CU100" s="1479">
        <v>856046142</v>
      </c>
      <c r="CV100" s="1479">
        <v>888650822.51769722</v>
      </c>
      <c r="CW100" s="1479">
        <v>846789301</v>
      </c>
      <c r="CX100" s="1479">
        <v>866964706.75769722</v>
      </c>
      <c r="CY100" s="1479">
        <v>825513224</v>
      </c>
      <c r="CZ100" s="1479">
        <v>899159124.95769727</v>
      </c>
      <c r="DA100" s="1479">
        <v>863819794</v>
      </c>
      <c r="DB100" s="1479">
        <v>898453422.27769721</v>
      </c>
      <c r="DC100" s="1479">
        <v>880250188</v>
      </c>
      <c r="DD100" s="1479">
        <v>910956875.95103061</v>
      </c>
      <c r="DE100" s="1479">
        <v>876803567</v>
      </c>
      <c r="DF100" s="1479">
        <v>897124349.31103063</v>
      </c>
      <c r="DG100" s="1479">
        <v>873960707</v>
      </c>
      <c r="DH100" s="1479">
        <v>881238145.57103062</v>
      </c>
      <c r="DI100" s="1479">
        <v>830245673</v>
      </c>
      <c r="DJ100" s="1479">
        <v>873014228.7444694</v>
      </c>
      <c r="DK100" s="1479">
        <v>867077127</v>
      </c>
      <c r="DL100" s="1479">
        <v>947716877.82981443</v>
      </c>
      <c r="DM100" s="1479">
        <v>922226145</v>
      </c>
      <c r="DN100" s="1479">
        <v>929303222.92981434</v>
      </c>
      <c r="DO100" s="1479">
        <v>946759632.61227322</v>
      </c>
      <c r="DP100" s="1479">
        <v>909445032.90981436</v>
      </c>
      <c r="DQ100" s="1479">
        <v>954408764.1520257</v>
      </c>
      <c r="DR100" s="1479">
        <v>898456538.50981438</v>
      </c>
      <c r="DS100" s="1479">
        <v>859188267</v>
      </c>
      <c r="DT100" s="1479">
        <v>867133597.40981436</v>
      </c>
      <c r="DU100" s="1479">
        <v>846335880</v>
      </c>
      <c r="DV100" s="1479">
        <v>860500798.54981446</v>
      </c>
      <c r="DW100" s="1479">
        <v>824688941</v>
      </c>
      <c r="DX100" s="1479">
        <v>897748032.4764812</v>
      </c>
      <c r="DY100" s="1479">
        <v>856594796</v>
      </c>
      <c r="DZ100" s="1479">
        <v>929396006.95648098</v>
      </c>
      <c r="EA100" s="1479">
        <v>858365781</v>
      </c>
      <c r="EB100" s="1479">
        <v>899805983.27648103</v>
      </c>
      <c r="EC100" s="1479">
        <v>857879611</v>
      </c>
      <c r="ED100" s="1479">
        <v>871554198.73648107</v>
      </c>
      <c r="EE100" s="1479">
        <v>844396229</v>
      </c>
      <c r="EF100" s="1479">
        <v>841309531.31648111</v>
      </c>
      <c r="EG100" s="1479">
        <v>846018795</v>
      </c>
      <c r="EH100" s="1479">
        <v>916239071.38288927</v>
      </c>
      <c r="EI100" s="1479">
        <v>854371958</v>
      </c>
      <c r="EJ100" s="1479">
        <v>908961879.61294854</v>
      </c>
      <c r="EK100" s="1479">
        <v>910601427</v>
      </c>
      <c r="EL100" s="1479">
        <v>907950669.51857436</v>
      </c>
      <c r="EM100" s="1479">
        <v>892633014</v>
      </c>
      <c r="EN100" s="1479">
        <v>907782694.65308118</v>
      </c>
      <c r="EO100" s="1479">
        <v>885670103</v>
      </c>
      <c r="EP100" s="1479">
        <v>906253839.961326</v>
      </c>
      <c r="EQ100" s="1479">
        <v>875125729</v>
      </c>
      <c r="ER100" s="1479">
        <v>905283302.44706118</v>
      </c>
      <c r="ES100" s="1479">
        <v>843738981</v>
      </c>
      <c r="ET100" s="1479">
        <v>905265358.50689673</v>
      </c>
      <c r="EU100" s="1479">
        <v>835786691</v>
      </c>
      <c r="EV100" s="1479">
        <v>900055115.40473688</v>
      </c>
      <c r="EW100" s="1479">
        <v>869355525</v>
      </c>
      <c r="EX100" s="1479">
        <v>898822670.42927885</v>
      </c>
      <c r="EY100" s="1479">
        <v>900868004</v>
      </c>
      <c r="EZ100" s="1479">
        <v>893566648.9358542</v>
      </c>
      <c r="FA100" s="1479">
        <v>877854318</v>
      </c>
      <c r="FB100" s="1479">
        <v>891284406.01265395</v>
      </c>
      <c r="FC100" s="1479">
        <v>849038920</v>
      </c>
      <c r="FD100" s="1479">
        <v>881000000</v>
      </c>
      <c r="FE100" s="1479">
        <v>812738047</v>
      </c>
      <c r="FF100" s="1479">
        <v>906000000</v>
      </c>
      <c r="FG100" s="1479">
        <v>841155192.10000002</v>
      </c>
      <c r="FH100" s="1479">
        <v>906000000</v>
      </c>
      <c r="FI100" s="1479">
        <v>920704124.89999998</v>
      </c>
      <c r="FJ100" s="1479">
        <v>905000000</v>
      </c>
      <c r="FK100" s="1479">
        <v>905272567.29999995</v>
      </c>
      <c r="FL100" s="1479">
        <v>904000000</v>
      </c>
      <c r="FM100" s="1479">
        <v>890159580.70000005</v>
      </c>
      <c r="FN100" s="1479">
        <v>904000000</v>
      </c>
      <c r="FO100" s="1479">
        <v>862126186</v>
      </c>
      <c r="FP100" s="1479">
        <v>904000000</v>
      </c>
      <c r="FQ100" s="1479">
        <v>831093738</v>
      </c>
      <c r="FR100" s="1479">
        <v>875000000</v>
      </c>
      <c r="FS100" s="1479">
        <v>876456355</v>
      </c>
      <c r="FT100" s="1479">
        <v>876000000</v>
      </c>
      <c r="FU100" s="1479">
        <v>824551184</v>
      </c>
      <c r="FV100" s="1479">
        <v>875000000</v>
      </c>
      <c r="FW100" s="1479">
        <v>843145636</v>
      </c>
      <c r="FX100" s="1479">
        <v>857000000</v>
      </c>
      <c r="FY100" s="1479">
        <v>860324348</v>
      </c>
      <c r="FZ100" s="1479">
        <v>857000000</v>
      </c>
      <c r="GA100" s="1479">
        <v>679398134</v>
      </c>
      <c r="GB100" s="1479">
        <f>SUM(GB101:GB112)+GB114+GB119+GB121</f>
        <v>0</v>
      </c>
      <c r="GC100" s="1479">
        <f>SUM(GC101:GC112)+GC114+GC119+GC121</f>
        <v>0</v>
      </c>
      <c r="GD100" s="1425"/>
    </row>
    <row r="101" spans="1:187" outlineLevel="1">
      <c r="R101" s="1429">
        <v>1</v>
      </c>
      <c r="S101" s="1481" t="s">
        <v>229</v>
      </c>
      <c r="T101" s="1482">
        <f t="shared" ref="T101:T129" si="66">SUMIF($X$99:$AO$99,$T$99,X101:AO101)</f>
        <v>157500000</v>
      </c>
      <c r="U101" s="1482">
        <f>SUMIF(Z$99:$AO$99,$U$99,Z101:AO101)</f>
        <v>633333334</v>
      </c>
      <c r="V101" s="1483">
        <v>17500000.000000004</v>
      </c>
      <c r="W101" s="1484">
        <f>'3-2) 손익계산서(월간)'!D23</f>
        <v>16666667</v>
      </c>
      <c r="X101" s="1483">
        <v>17500000.000000004</v>
      </c>
      <c r="Y101" s="1484">
        <v>16666667</v>
      </c>
      <c r="Z101" s="1485">
        <v>17500000.000000004</v>
      </c>
      <c r="AA101" s="1484">
        <v>16666667</v>
      </c>
      <c r="AB101" s="1486">
        <v>17500000.000000004</v>
      </c>
      <c r="AC101" s="1484">
        <v>16666667</v>
      </c>
      <c r="AD101" s="1487">
        <v>17500000</v>
      </c>
      <c r="AE101" s="1474">
        <v>316666665</v>
      </c>
      <c r="AF101" s="1485">
        <v>17500000</v>
      </c>
      <c r="AG101" s="1474">
        <v>16666667</v>
      </c>
      <c r="AH101" s="1485">
        <v>17500000</v>
      </c>
      <c r="AI101" s="1474">
        <v>16666667</v>
      </c>
      <c r="AJ101" s="1485">
        <v>17500000</v>
      </c>
      <c r="AK101" s="1484">
        <v>16666667</v>
      </c>
      <c r="AL101" s="1485">
        <v>17500000</v>
      </c>
      <c r="AM101" s="1484">
        <v>16666667</v>
      </c>
      <c r="AN101" s="1485">
        <v>17500000</v>
      </c>
      <c r="AO101" s="1484">
        <v>216666667</v>
      </c>
      <c r="AP101" s="1485">
        <v>17500000</v>
      </c>
      <c r="AQ101" s="1484">
        <v>16666665</v>
      </c>
      <c r="AR101" s="1488">
        <v>17500000</v>
      </c>
      <c r="AS101" s="1484">
        <v>16666667</v>
      </c>
      <c r="AT101" s="1488">
        <v>17500000</v>
      </c>
      <c r="AU101" s="1489">
        <v>16666667</v>
      </c>
      <c r="AV101" s="1488">
        <v>17500000</v>
      </c>
      <c r="AW101" s="1489">
        <v>16666667</v>
      </c>
      <c r="AX101" s="1488">
        <v>17500000</v>
      </c>
      <c r="AY101" s="1489">
        <v>16666667</v>
      </c>
      <c r="AZ101" s="1488">
        <v>17500000</v>
      </c>
      <c r="BA101" s="1489">
        <v>16666667</v>
      </c>
      <c r="BB101" s="1488">
        <v>217500000</v>
      </c>
      <c r="BC101" s="1489">
        <v>16666665</v>
      </c>
      <c r="BD101" s="1488">
        <v>17500000</v>
      </c>
      <c r="BE101" s="1489">
        <v>16666667</v>
      </c>
      <c r="BF101" s="1488">
        <v>17500000</v>
      </c>
      <c r="BG101" s="1489">
        <v>16666667</v>
      </c>
      <c r="BH101" s="1488">
        <v>17500000</v>
      </c>
      <c r="BI101" s="1484">
        <v>16666667</v>
      </c>
      <c r="BJ101" s="1488">
        <v>17500000</v>
      </c>
      <c r="BK101" s="1484">
        <v>16666667</v>
      </c>
      <c r="BL101" s="1490">
        <v>17500000</v>
      </c>
      <c r="BM101" s="1484">
        <v>16666667</v>
      </c>
      <c r="BN101" s="1488">
        <v>17500000</v>
      </c>
      <c r="BO101" s="1484">
        <v>16666665</v>
      </c>
      <c r="BP101" s="1489">
        <v>17500000</v>
      </c>
      <c r="BQ101" s="1484">
        <v>16666667</v>
      </c>
      <c r="BR101" s="1489">
        <v>217500000</v>
      </c>
      <c r="BS101" s="1484">
        <v>16666667</v>
      </c>
      <c r="BT101" s="1489">
        <v>17500000.000000004</v>
      </c>
      <c r="BU101" s="1484">
        <v>16666667</v>
      </c>
      <c r="BV101" s="1489">
        <v>17500000.000000004</v>
      </c>
      <c r="BW101" s="1484">
        <v>16666667</v>
      </c>
      <c r="BX101" s="1491">
        <v>17500000.000000004</v>
      </c>
      <c r="BY101" s="1482">
        <v>16666667</v>
      </c>
      <c r="BZ101" s="1482">
        <v>17500000.000000004</v>
      </c>
      <c r="CA101" s="1482">
        <v>216666665</v>
      </c>
      <c r="CB101" s="1482">
        <v>17500000.000000004</v>
      </c>
      <c r="CC101" s="1482">
        <v>16666667</v>
      </c>
      <c r="CD101" s="1482">
        <v>216666666.66666698</v>
      </c>
      <c r="CE101" s="1482">
        <v>16666667</v>
      </c>
      <c r="CF101" s="1482">
        <v>16666666.6666667</v>
      </c>
      <c r="CG101" s="1482">
        <v>16666667</v>
      </c>
      <c r="CH101" s="1482">
        <v>16666666.6666667</v>
      </c>
      <c r="CI101" s="1482">
        <v>16666667</v>
      </c>
      <c r="CJ101" s="1472">
        <v>16666666.666666668</v>
      </c>
      <c r="CK101" s="1482">
        <v>16666667</v>
      </c>
      <c r="CL101" s="1472">
        <v>16666666.6666667</v>
      </c>
      <c r="CM101" s="1482">
        <v>31944445</v>
      </c>
      <c r="CN101" s="1472">
        <v>41666666.666666664</v>
      </c>
      <c r="CO101" s="1482">
        <v>41666666</v>
      </c>
      <c r="CP101" s="1472">
        <v>41666666.666666664</v>
      </c>
      <c r="CQ101" s="1482">
        <v>41666666</v>
      </c>
      <c r="CR101" s="1472">
        <v>41666666.666666664</v>
      </c>
      <c r="CS101" s="1482">
        <v>41666666</v>
      </c>
      <c r="CT101" s="1472">
        <v>41666666.666666664</v>
      </c>
      <c r="CU101" s="1482">
        <v>41666666</v>
      </c>
      <c r="CV101" s="1472">
        <v>41666666.666666664</v>
      </c>
      <c r="CW101" s="1482">
        <v>41666668</v>
      </c>
      <c r="CX101" s="1472">
        <v>41666666.666666664</v>
      </c>
      <c r="CY101" s="1482">
        <v>41666668</v>
      </c>
      <c r="CZ101" s="1472">
        <v>41666666.666666664</v>
      </c>
      <c r="DA101" s="1482">
        <v>41666666</v>
      </c>
      <c r="DB101" s="1472">
        <v>41666666.666666664</v>
      </c>
      <c r="DC101" s="1482">
        <v>41666666</v>
      </c>
      <c r="DD101" s="1472">
        <v>41666666.666666664</v>
      </c>
      <c r="DE101" s="1482">
        <v>41666668</v>
      </c>
      <c r="DF101" s="1472">
        <v>41666666.666666664</v>
      </c>
      <c r="DG101" s="1482">
        <v>41666666</v>
      </c>
      <c r="DH101" s="1472">
        <v>41666666.666666664</v>
      </c>
      <c r="DI101" s="1482">
        <v>41666666</v>
      </c>
      <c r="DJ101" s="1472">
        <v>41666666.666666664</v>
      </c>
      <c r="DK101" s="1482">
        <v>41666668</v>
      </c>
      <c r="DL101" s="1472">
        <v>41666666.666666664</v>
      </c>
      <c r="DM101" s="1482">
        <v>41666666</v>
      </c>
      <c r="DN101" s="1472">
        <v>41666666.666666664</v>
      </c>
      <c r="DO101" s="1482">
        <v>41666666</v>
      </c>
      <c r="DP101" s="1472">
        <v>41666666.666666664</v>
      </c>
      <c r="DQ101" s="1482">
        <v>41666666</v>
      </c>
      <c r="DR101" s="1472">
        <v>41666666.666666664</v>
      </c>
      <c r="DS101" s="1482">
        <v>41666666</v>
      </c>
      <c r="DT101" s="1472">
        <v>41666666.666666664</v>
      </c>
      <c r="DU101" s="1472">
        <v>41666668</v>
      </c>
      <c r="DV101" s="1472">
        <v>41666666.666666664</v>
      </c>
      <c r="DW101" s="1472">
        <v>41666668</v>
      </c>
      <c r="DX101" s="1472">
        <v>41666666.666666701</v>
      </c>
      <c r="DY101" s="1492">
        <v>41666666</v>
      </c>
      <c r="DZ101" s="1472">
        <v>41666666.666666664</v>
      </c>
      <c r="EA101" s="1492">
        <v>41666666</v>
      </c>
      <c r="EB101" s="1472">
        <v>41666666.666666664</v>
      </c>
      <c r="EC101" s="1492">
        <v>41666668</v>
      </c>
      <c r="ED101" s="1472">
        <v>41666666.666666664</v>
      </c>
      <c r="EE101" s="1492">
        <v>41666666</v>
      </c>
      <c r="EF101" s="1492">
        <v>41666666.666666664</v>
      </c>
      <c r="EG101" s="1492">
        <v>41666666</v>
      </c>
      <c r="EH101" s="1479">
        <v>41666666.666666701</v>
      </c>
      <c r="EI101" s="1479">
        <v>41666668</v>
      </c>
      <c r="EJ101" s="1479">
        <v>41666666.666666701</v>
      </c>
      <c r="EK101" s="1479">
        <v>41666666</v>
      </c>
      <c r="EL101" s="1479">
        <v>41666666.666666701</v>
      </c>
      <c r="EM101" s="1479">
        <v>41666666</v>
      </c>
      <c r="EN101" s="1479">
        <v>41666666.666666701</v>
      </c>
      <c r="EO101" s="1479">
        <v>41666666</v>
      </c>
      <c r="EP101" s="1479">
        <v>41666666.666666701</v>
      </c>
      <c r="EQ101" s="1479">
        <v>41666666</v>
      </c>
      <c r="ER101" s="1479">
        <v>41666666.666666701</v>
      </c>
      <c r="ES101" s="1479">
        <v>41666668</v>
      </c>
      <c r="ET101" s="1479">
        <v>41666666.666666701</v>
      </c>
      <c r="EU101" s="1479">
        <v>41666668</v>
      </c>
      <c r="EV101" s="1479">
        <v>41666666.666666701</v>
      </c>
      <c r="EW101" s="1479">
        <v>41666666</v>
      </c>
      <c r="EX101" s="1479">
        <v>41666666.666666701</v>
      </c>
      <c r="EY101" s="1479">
        <v>41666666</v>
      </c>
      <c r="EZ101" s="1479">
        <v>41666666.666666701</v>
      </c>
      <c r="FA101" s="1479">
        <v>41666668</v>
      </c>
      <c r="FB101" s="1479">
        <v>41666666.666666701</v>
      </c>
      <c r="FC101" s="1479">
        <v>41666666</v>
      </c>
      <c r="FD101" s="1479">
        <v>8000000</v>
      </c>
      <c r="FE101" s="1479">
        <v>41666666</v>
      </c>
      <c r="FF101" s="1479">
        <v>33000000</v>
      </c>
      <c r="FG101" s="1479">
        <v>32240438</v>
      </c>
      <c r="FH101" s="1479">
        <v>33000000</v>
      </c>
      <c r="FI101" s="1479">
        <v>33879781</v>
      </c>
      <c r="FJ101" s="1479">
        <v>33000000</v>
      </c>
      <c r="FK101" s="1479">
        <v>33879781</v>
      </c>
      <c r="FL101" s="1479">
        <v>33000000</v>
      </c>
      <c r="FM101" s="1479">
        <v>33333334</v>
      </c>
      <c r="FN101" s="1479">
        <v>33000000</v>
      </c>
      <c r="FO101" s="1493">
        <v>33879781</v>
      </c>
      <c r="FP101" s="1493">
        <v>33000000</v>
      </c>
      <c r="FQ101" s="1493">
        <v>32786885</v>
      </c>
      <c r="FR101" s="1493">
        <v>8000000</v>
      </c>
      <c r="FS101" s="1493">
        <v>8611111</v>
      </c>
      <c r="FT101" s="1494">
        <v>8000000</v>
      </c>
      <c r="FU101" s="1493">
        <v>7777778</v>
      </c>
      <c r="FV101" s="1493">
        <v>8000000</v>
      </c>
      <c r="FW101" s="1493">
        <v>8611111</v>
      </c>
      <c r="FX101" s="1494">
        <v>8000000</v>
      </c>
      <c r="FY101" s="1493">
        <v>11666444</v>
      </c>
      <c r="FZ101" s="1494">
        <v>8000000</v>
      </c>
      <c r="GA101" s="1493">
        <v>3055556</v>
      </c>
      <c r="GB101" s="1493"/>
      <c r="GC101" s="1479"/>
      <c r="GD101" s="1425"/>
    </row>
    <row r="102" spans="1:187" outlineLevel="1">
      <c r="R102" s="1429">
        <v>2</v>
      </c>
      <c r="S102" s="1481" t="s">
        <v>1016</v>
      </c>
      <c r="T102" s="1482">
        <f t="shared" si="66"/>
        <v>22275000</v>
      </c>
      <c r="U102" s="1482">
        <f>SUMIF(Z$99:$AO$99,$U$99,Z102:AO102)</f>
        <v>17999998</v>
      </c>
      <c r="V102" s="1483">
        <v>2475000</v>
      </c>
      <c r="W102" s="1484">
        <f>'3-2) 손익계산서(월간)'!D24</f>
        <v>2249999</v>
      </c>
      <c r="X102" s="1483">
        <v>2475000</v>
      </c>
      <c r="Y102" s="1484">
        <v>2250002</v>
      </c>
      <c r="Z102" s="1495">
        <v>2475000</v>
      </c>
      <c r="AA102" s="1484">
        <v>2249999</v>
      </c>
      <c r="AB102" s="1486">
        <v>2475000</v>
      </c>
      <c r="AC102" s="1484">
        <v>2249999</v>
      </c>
      <c r="AD102" s="1476">
        <v>2475000</v>
      </c>
      <c r="AE102" s="1474">
        <v>2250002</v>
      </c>
      <c r="AF102" s="1495">
        <v>2475000</v>
      </c>
      <c r="AG102" s="1474">
        <v>2249999</v>
      </c>
      <c r="AH102" s="1495">
        <v>2475000</v>
      </c>
      <c r="AI102" s="1474">
        <v>2249999</v>
      </c>
      <c r="AJ102" s="1495">
        <v>2475000</v>
      </c>
      <c r="AK102" s="1484">
        <v>2250002</v>
      </c>
      <c r="AL102" s="1495">
        <v>2475000</v>
      </c>
      <c r="AM102" s="1484">
        <v>2249999</v>
      </c>
      <c r="AN102" s="1495">
        <v>2475000</v>
      </c>
      <c r="AO102" s="1484">
        <v>2249999</v>
      </c>
      <c r="AP102" s="1495">
        <v>2475000</v>
      </c>
      <c r="AQ102" s="1484">
        <v>2250002</v>
      </c>
      <c r="AR102" s="1479">
        <v>2475000</v>
      </c>
      <c r="AS102" s="1484">
        <v>2249999</v>
      </c>
      <c r="AT102" s="1479">
        <v>2475000</v>
      </c>
      <c r="AU102" s="1489">
        <v>2249999</v>
      </c>
      <c r="AV102" s="1479">
        <v>2475000</v>
      </c>
      <c r="AW102" s="1489">
        <v>2250002</v>
      </c>
      <c r="AX102" s="1479">
        <v>2475000</v>
      </c>
      <c r="AY102" s="1489">
        <v>2249999</v>
      </c>
      <c r="AZ102" s="1479">
        <v>2475000</v>
      </c>
      <c r="BA102" s="1489">
        <v>2249999</v>
      </c>
      <c r="BB102" s="1479">
        <v>2475000</v>
      </c>
      <c r="BC102" s="1489">
        <v>2250002</v>
      </c>
      <c r="BD102" s="1479">
        <v>2475000</v>
      </c>
      <c r="BE102" s="1489">
        <v>2249999</v>
      </c>
      <c r="BF102" s="1479">
        <v>2475000</v>
      </c>
      <c r="BG102" s="1489">
        <v>2249999</v>
      </c>
      <c r="BH102" s="1479">
        <v>2475000</v>
      </c>
      <c r="BI102" s="1484">
        <v>2250002</v>
      </c>
      <c r="BJ102" s="1479">
        <v>2475000</v>
      </c>
      <c r="BK102" s="1484">
        <v>2249999</v>
      </c>
      <c r="BL102" s="1479">
        <v>2475000</v>
      </c>
      <c r="BM102" s="1484">
        <v>2249999</v>
      </c>
      <c r="BN102" s="1479">
        <v>2475000</v>
      </c>
      <c r="BO102" s="1484">
        <v>2250002</v>
      </c>
      <c r="BP102" s="1479">
        <v>2475000</v>
      </c>
      <c r="BQ102" s="1484">
        <v>2249999</v>
      </c>
      <c r="BR102" s="1479">
        <v>2475000</v>
      </c>
      <c r="BS102" s="1484">
        <v>2249999</v>
      </c>
      <c r="BT102" s="1479">
        <v>2475000</v>
      </c>
      <c r="BU102" s="1484">
        <v>2250002</v>
      </c>
      <c r="BV102" s="1479">
        <v>2475000</v>
      </c>
      <c r="BW102" s="1484">
        <v>2249999</v>
      </c>
      <c r="BX102" s="1496">
        <v>2475000</v>
      </c>
      <c r="BY102" s="1482">
        <v>2249999</v>
      </c>
      <c r="BZ102" s="1482">
        <v>2475000</v>
      </c>
      <c r="CA102" s="1482">
        <v>2250002</v>
      </c>
      <c r="CB102" s="1482">
        <v>2475000</v>
      </c>
      <c r="CC102" s="1482">
        <v>2198631</v>
      </c>
      <c r="CD102" s="1482">
        <v>2250000</v>
      </c>
      <c r="CE102" s="1482">
        <v>2198631</v>
      </c>
      <c r="CF102" s="1482">
        <v>2250000</v>
      </c>
      <c r="CG102" s="1482">
        <v>2250002</v>
      </c>
      <c r="CH102" s="1482">
        <v>2250000</v>
      </c>
      <c r="CI102" s="1482">
        <v>2249999</v>
      </c>
      <c r="CJ102" s="1472">
        <v>2250000</v>
      </c>
      <c r="CK102" s="1482">
        <v>2249999</v>
      </c>
      <c r="CL102" s="1472">
        <v>2250000</v>
      </c>
      <c r="CM102" s="1482">
        <v>2306011</v>
      </c>
      <c r="CN102" s="1472">
        <v>2500000</v>
      </c>
      <c r="CO102" s="1482">
        <v>2500000</v>
      </c>
      <c r="CP102" s="1472">
        <v>2500000</v>
      </c>
      <c r="CQ102" s="1482">
        <v>2500000</v>
      </c>
      <c r="CR102" s="1472">
        <v>2500000</v>
      </c>
      <c r="CS102" s="1482">
        <v>2500000</v>
      </c>
      <c r="CT102" s="1472">
        <v>2500000</v>
      </c>
      <c r="CU102" s="1482">
        <v>2500000</v>
      </c>
      <c r="CV102" s="1472">
        <v>2500000</v>
      </c>
      <c r="CW102" s="1482">
        <v>2500000</v>
      </c>
      <c r="CX102" s="1472">
        <v>2500000</v>
      </c>
      <c r="CY102" s="1482">
        <v>2500000</v>
      </c>
      <c r="CZ102" s="1472">
        <v>2500000</v>
      </c>
      <c r="DA102" s="1482">
        <v>2500000</v>
      </c>
      <c r="DB102" s="1472">
        <v>2500000</v>
      </c>
      <c r="DC102" s="1482">
        <v>2500000</v>
      </c>
      <c r="DD102" s="1472">
        <v>2500000</v>
      </c>
      <c r="DE102" s="1482">
        <v>2500000</v>
      </c>
      <c r="DF102" s="1472">
        <v>2500000</v>
      </c>
      <c r="DG102" s="1482">
        <v>2500000</v>
      </c>
      <c r="DH102" s="1472">
        <v>2500000</v>
      </c>
      <c r="DI102" s="1482">
        <v>2500000</v>
      </c>
      <c r="DJ102" s="1472">
        <v>2500000</v>
      </c>
      <c r="DK102" s="1482">
        <v>2500000</v>
      </c>
      <c r="DL102" s="1472">
        <v>2500000</v>
      </c>
      <c r="DM102" s="1482">
        <v>2500000</v>
      </c>
      <c r="DN102" s="1472">
        <v>2500000</v>
      </c>
      <c r="DO102" s="1482">
        <v>2500000</v>
      </c>
      <c r="DP102" s="1472">
        <v>2500000</v>
      </c>
      <c r="DQ102" s="1482">
        <v>2500000</v>
      </c>
      <c r="DR102" s="1472">
        <v>2500000</v>
      </c>
      <c r="DS102" s="1482">
        <v>2500000</v>
      </c>
      <c r="DT102" s="1472">
        <v>2500000</v>
      </c>
      <c r="DU102" s="1472">
        <v>2500000</v>
      </c>
      <c r="DV102" s="1472">
        <v>2500000</v>
      </c>
      <c r="DW102" s="1472">
        <v>2500000</v>
      </c>
      <c r="DX102" s="1472">
        <v>2500000</v>
      </c>
      <c r="DY102" s="1492">
        <v>2500000</v>
      </c>
      <c r="DZ102" s="1472">
        <v>2500000</v>
      </c>
      <c r="EA102" s="1492">
        <v>2500000</v>
      </c>
      <c r="EB102" s="1472">
        <v>2500000</v>
      </c>
      <c r="EC102" s="1492">
        <v>2500000</v>
      </c>
      <c r="ED102" s="1472">
        <v>2500000</v>
      </c>
      <c r="EE102" s="1492">
        <v>2500000</v>
      </c>
      <c r="EF102" s="1492">
        <v>2500000</v>
      </c>
      <c r="EG102" s="1492">
        <v>2500000</v>
      </c>
      <c r="EH102" s="1479">
        <v>2500000</v>
      </c>
      <c r="EI102" s="1479">
        <v>2500000</v>
      </c>
      <c r="EJ102" s="1479">
        <v>2500000</v>
      </c>
      <c r="EK102" s="1479">
        <v>2500000</v>
      </c>
      <c r="EL102" s="1479">
        <v>2500000</v>
      </c>
      <c r="EM102" s="1479">
        <v>2500000</v>
      </c>
      <c r="EN102" s="1479">
        <v>2500000</v>
      </c>
      <c r="EO102" s="1479">
        <v>2500000</v>
      </c>
      <c r="EP102" s="1479">
        <v>2500000</v>
      </c>
      <c r="EQ102" s="1479">
        <v>2500000</v>
      </c>
      <c r="ER102" s="1479">
        <v>2500000</v>
      </c>
      <c r="ES102" s="1479">
        <v>2500000</v>
      </c>
      <c r="ET102" s="1479">
        <v>2500000</v>
      </c>
      <c r="EU102" s="1479">
        <v>2500000</v>
      </c>
      <c r="EV102" s="1479">
        <v>2500000</v>
      </c>
      <c r="EW102" s="1479">
        <v>2500000</v>
      </c>
      <c r="EX102" s="1479">
        <v>2500000</v>
      </c>
      <c r="EY102" s="1479">
        <v>2500000</v>
      </c>
      <c r="EZ102" s="1479">
        <v>2500000</v>
      </c>
      <c r="FA102" s="1479">
        <v>2500000</v>
      </c>
      <c r="FB102" s="1479">
        <v>2500000</v>
      </c>
      <c r="FC102" s="1479">
        <v>2500000</v>
      </c>
      <c r="FD102" s="1479">
        <v>3000000</v>
      </c>
      <c r="FE102" s="1479">
        <v>2500000</v>
      </c>
      <c r="FF102" s="1479">
        <v>3000000</v>
      </c>
      <c r="FG102" s="1479">
        <v>2418032</v>
      </c>
      <c r="FH102" s="1479">
        <v>3000000</v>
      </c>
      <c r="FI102" s="1479">
        <v>2540984</v>
      </c>
      <c r="FJ102" s="1479">
        <v>3000000</v>
      </c>
      <c r="FK102" s="1479">
        <v>2540984</v>
      </c>
      <c r="FL102" s="1479">
        <v>3000000</v>
      </c>
      <c r="FM102" s="1479">
        <v>2500000</v>
      </c>
      <c r="FN102" s="1479">
        <v>3000000</v>
      </c>
      <c r="FO102" s="1493">
        <v>2540984</v>
      </c>
      <c r="FP102" s="1493">
        <v>3000000</v>
      </c>
      <c r="FQ102" s="1493">
        <v>2459016</v>
      </c>
      <c r="FR102" s="1493">
        <v>3000000</v>
      </c>
      <c r="FS102" s="1493">
        <v>2554945</v>
      </c>
      <c r="FT102" s="1494">
        <v>3000000</v>
      </c>
      <c r="FU102" s="1493">
        <v>2307693</v>
      </c>
      <c r="FV102" s="1493">
        <v>3000000</v>
      </c>
      <c r="FW102" s="1493">
        <v>2554945</v>
      </c>
      <c r="FX102" s="1494">
        <v>3000000</v>
      </c>
      <c r="FY102" s="1493">
        <v>2554945</v>
      </c>
      <c r="FZ102" s="1494">
        <v>3000000</v>
      </c>
      <c r="GA102" s="1493">
        <v>7694139</v>
      </c>
      <c r="GB102" s="1493"/>
      <c r="GC102" s="1479"/>
      <c r="GD102" s="1425"/>
    </row>
    <row r="103" spans="1:187" outlineLevel="1">
      <c r="R103" s="1429">
        <v>3</v>
      </c>
      <c r="S103" s="1481" t="s">
        <v>1017</v>
      </c>
      <c r="T103" s="1482">
        <f t="shared" si="66"/>
        <v>27562500</v>
      </c>
      <c r="U103" s="1482">
        <f>SUMIF(Z$99:$AO$99,$U$99,Z103:AO103)</f>
        <v>23333332</v>
      </c>
      <c r="V103" s="1483">
        <v>3062500</v>
      </c>
      <c r="W103" s="1484">
        <f>'3-2) 손익계산서(월간)'!D25</f>
        <v>2916666</v>
      </c>
      <c r="X103" s="1483">
        <v>3062500</v>
      </c>
      <c r="Y103" s="1484">
        <v>2916668</v>
      </c>
      <c r="Z103" s="1485">
        <v>3062500</v>
      </c>
      <c r="AA103" s="1484">
        <v>2916666</v>
      </c>
      <c r="AB103" s="1486">
        <v>3062500</v>
      </c>
      <c r="AC103" s="1484">
        <v>2916666</v>
      </c>
      <c r="AD103" s="1487">
        <v>3062500</v>
      </c>
      <c r="AE103" s="1474">
        <v>2916668</v>
      </c>
      <c r="AF103" s="1485">
        <v>3062500</v>
      </c>
      <c r="AG103" s="1474">
        <v>2916666</v>
      </c>
      <c r="AH103" s="1485">
        <v>3062500</v>
      </c>
      <c r="AI103" s="1474">
        <v>2916666</v>
      </c>
      <c r="AJ103" s="1485">
        <v>3062500</v>
      </c>
      <c r="AK103" s="1484">
        <v>2916668</v>
      </c>
      <c r="AL103" s="1485">
        <v>3062500</v>
      </c>
      <c r="AM103" s="1484">
        <v>2916666</v>
      </c>
      <c r="AN103" s="1485">
        <v>3062500</v>
      </c>
      <c r="AO103" s="1484">
        <v>2916666</v>
      </c>
      <c r="AP103" s="1485">
        <v>3062500</v>
      </c>
      <c r="AQ103" s="1484">
        <v>2916668</v>
      </c>
      <c r="AR103" s="1488">
        <v>3062500</v>
      </c>
      <c r="AS103" s="1484">
        <v>2916666</v>
      </c>
      <c r="AT103" s="1488">
        <v>3062500</v>
      </c>
      <c r="AU103" s="1489">
        <v>2916666</v>
      </c>
      <c r="AV103" s="1488">
        <v>3062500</v>
      </c>
      <c r="AW103" s="1489">
        <v>2916668</v>
      </c>
      <c r="AX103" s="1488">
        <v>3062500</v>
      </c>
      <c r="AY103" s="1489">
        <v>2916666</v>
      </c>
      <c r="AZ103" s="1488">
        <v>3062500</v>
      </c>
      <c r="BA103" s="1489">
        <v>2916666</v>
      </c>
      <c r="BB103" s="1488">
        <v>3062500</v>
      </c>
      <c r="BC103" s="1489">
        <v>2916668</v>
      </c>
      <c r="BD103" s="1488">
        <v>3062500</v>
      </c>
      <c r="BE103" s="1489">
        <v>2916666</v>
      </c>
      <c r="BF103" s="1488">
        <v>3062500</v>
      </c>
      <c r="BG103" s="1489">
        <v>2916666</v>
      </c>
      <c r="BH103" s="1488">
        <v>3062500</v>
      </c>
      <c r="BI103" s="1484">
        <v>2916668</v>
      </c>
      <c r="BJ103" s="1488">
        <v>3062500</v>
      </c>
      <c r="BK103" s="1484">
        <v>2916666</v>
      </c>
      <c r="BL103" s="1488">
        <v>3062500</v>
      </c>
      <c r="BM103" s="1484">
        <v>2916666</v>
      </c>
      <c r="BN103" s="1488">
        <v>3062500</v>
      </c>
      <c r="BO103" s="1484">
        <v>2916668</v>
      </c>
      <c r="BP103" s="1489">
        <v>3062500</v>
      </c>
      <c r="BQ103" s="1484">
        <v>2916666</v>
      </c>
      <c r="BR103" s="1489">
        <v>3062500</v>
      </c>
      <c r="BS103" s="1484">
        <v>2916666</v>
      </c>
      <c r="BT103" s="1489">
        <v>3062500</v>
      </c>
      <c r="BU103" s="1484">
        <v>2916668</v>
      </c>
      <c r="BV103" s="1489">
        <v>3062500</v>
      </c>
      <c r="BW103" s="1484">
        <v>2916666</v>
      </c>
      <c r="BX103" s="1491">
        <v>3062500</v>
      </c>
      <c r="BY103" s="1482">
        <v>2916666</v>
      </c>
      <c r="BZ103" s="1482">
        <v>3062500</v>
      </c>
      <c r="CA103" s="1482">
        <v>2916668</v>
      </c>
      <c r="CB103" s="1482">
        <v>3062500</v>
      </c>
      <c r="CC103" s="1482">
        <v>2916666</v>
      </c>
      <c r="CD103" s="1482">
        <v>2916666.6666666702</v>
      </c>
      <c r="CE103" s="1482">
        <v>2916666</v>
      </c>
      <c r="CF103" s="1482">
        <v>2916666.6666666702</v>
      </c>
      <c r="CG103" s="1482">
        <v>2916668</v>
      </c>
      <c r="CH103" s="1482">
        <v>2916666.6666666702</v>
      </c>
      <c r="CI103" s="1482">
        <v>2916666</v>
      </c>
      <c r="CJ103" s="1472">
        <v>2916666.6666666665</v>
      </c>
      <c r="CK103" s="1482">
        <v>2916666</v>
      </c>
      <c r="CL103" s="1472">
        <v>2916666.6666666702</v>
      </c>
      <c r="CM103" s="1482">
        <v>2916668</v>
      </c>
      <c r="CN103" s="1472">
        <v>2916666.6666666665</v>
      </c>
      <c r="CO103" s="1482">
        <v>2916666</v>
      </c>
      <c r="CP103" s="1472">
        <v>2916666.6666666665</v>
      </c>
      <c r="CQ103" s="1482">
        <v>2916666</v>
      </c>
      <c r="CR103" s="1472">
        <v>2916666.6666666665</v>
      </c>
      <c r="CS103" s="1482">
        <v>2916668</v>
      </c>
      <c r="CT103" s="1472">
        <v>2916666.6666666665</v>
      </c>
      <c r="CU103" s="1482">
        <v>2916666</v>
      </c>
      <c r="CV103" s="1472">
        <v>2916666.6666666665</v>
      </c>
      <c r="CW103" s="1482">
        <v>2916666</v>
      </c>
      <c r="CX103" s="1472">
        <v>2916666.6666666665</v>
      </c>
      <c r="CY103" s="1482">
        <v>2916668</v>
      </c>
      <c r="CZ103" s="1472">
        <v>2916666.6666666665</v>
      </c>
      <c r="DA103" s="1482">
        <v>2916666</v>
      </c>
      <c r="DB103" s="1472">
        <v>2916666.6666666665</v>
      </c>
      <c r="DC103" s="1482">
        <v>2916666</v>
      </c>
      <c r="DD103" s="1472">
        <v>2916666.6666666665</v>
      </c>
      <c r="DE103" s="1482">
        <v>2916668</v>
      </c>
      <c r="DF103" s="1472">
        <v>2916666.6666666665</v>
      </c>
      <c r="DG103" s="1482">
        <v>2916666</v>
      </c>
      <c r="DH103" s="1472">
        <v>2916666.6666666665</v>
      </c>
      <c r="DI103" s="1482">
        <v>2916666</v>
      </c>
      <c r="DJ103" s="1472">
        <v>2916666.6666666665</v>
      </c>
      <c r="DK103" s="1482">
        <v>2916668</v>
      </c>
      <c r="DL103" s="1472">
        <v>2916666.6666666665</v>
      </c>
      <c r="DM103" s="1482">
        <v>2916666</v>
      </c>
      <c r="DN103" s="1472">
        <v>2916666.6666666665</v>
      </c>
      <c r="DO103" s="1482">
        <v>2916666</v>
      </c>
      <c r="DP103" s="1472">
        <v>2916666.6666666665</v>
      </c>
      <c r="DQ103" s="1482">
        <v>2916668</v>
      </c>
      <c r="DR103" s="1472">
        <v>2916666.6666666665</v>
      </c>
      <c r="DS103" s="1482">
        <v>2916666</v>
      </c>
      <c r="DT103" s="1472">
        <v>2916666.6666666665</v>
      </c>
      <c r="DU103" s="1472">
        <v>2916666</v>
      </c>
      <c r="DV103" s="1472">
        <v>2916666.6666666665</v>
      </c>
      <c r="DW103" s="1472">
        <v>2916668</v>
      </c>
      <c r="DX103" s="1472">
        <v>2916666.6666666665</v>
      </c>
      <c r="DY103" s="1492">
        <v>2916666</v>
      </c>
      <c r="DZ103" s="1472">
        <v>2916666.6666666665</v>
      </c>
      <c r="EA103" s="1492">
        <v>2916666</v>
      </c>
      <c r="EB103" s="1472">
        <v>2916666.6666666665</v>
      </c>
      <c r="EC103" s="1492">
        <v>2916668</v>
      </c>
      <c r="ED103" s="1472">
        <v>2916666.6666666665</v>
      </c>
      <c r="EE103" s="1492">
        <v>2916666</v>
      </c>
      <c r="EF103" s="1492">
        <v>2916666.6666666665</v>
      </c>
      <c r="EG103" s="1492">
        <v>2916666</v>
      </c>
      <c r="EH103" s="1479">
        <v>2916666.6666666698</v>
      </c>
      <c r="EI103" s="1479">
        <v>2916668</v>
      </c>
      <c r="EJ103" s="1479">
        <v>2916666.6666666698</v>
      </c>
      <c r="EK103" s="1479">
        <v>2916666</v>
      </c>
      <c r="EL103" s="1479">
        <v>2916666.6666666698</v>
      </c>
      <c r="EM103" s="1479">
        <v>2916666</v>
      </c>
      <c r="EN103" s="1479">
        <v>2916666.6666666698</v>
      </c>
      <c r="EO103" s="1479">
        <v>2916668</v>
      </c>
      <c r="EP103" s="1479">
        <v>2916666.6666666698</v>
      </c>
      <c r="EQ103" s="1479">
        <v>2916666</v>
      </c>
      <c r="ER103" s="1479">
        <v>2916666.6666666698</v>
      </c>
      <c r="ES103" s="1479">
        <v>2916666</v>
      </c>
      <c r="ET103" s="1479">
        <v>2916666.6666666698</v>
      </c>
      <c r="EU103" s="1479">
        <v>2916668</v>
      </c>
      <c r="EV103" s="1479">
        <v>2916666.6666666698</v>
      </c>
      <c r="EW103" s="1479">
        <v>2916666</v>
      </c>
      <c r="EX103" s="1479">
        <v>2916666.6666666698</v>
      </c>
      <c r="EY103" s="1479">
        <v>2916666</v>
      </c>
      <c r="EZ103" s="1479">
        <v>2916666.6666666698</v>
      </c>
      <c r="FA103" s="1479">
        <v>2916668</v>
      </c>
      <c r="FB103" s="1479">
        <v>2916666.6666666698</v>
      </c>
      <c r="FC103" s="1479">
        <v>2916666</v>
      </c>
      <c r="FD103" s="1479">
        <v>3000000</v>
      </c>
      <c r="FE103" s="1479">
        <v>2916666</v>
      </c>
      <c r="FF103" s="1479">
        <v>3000000</v>
      </c>
      <c r="FG103" s="1479">
        <v>2821038</v>
      </c>
      <c r="FH103" s="1479">
        <v>3000000</v>
      </c>
      <c r="FI103" s="1479">
        <v>2964481</v>
      </c>
      <c r="FJ103" s="1479">
        <v>3000000</v>
      </c>
      <c r="FK103" s="1479">
        <v>2964481</v>
      </c>
      <c r="FL103" s="1479">
        <v>3000000</v>
      </c>
      <c r="FM103" s="1479">
        <v>2916667</v>
      </c>
      <c r="FN103" s="1479">
        <v>3000000</v>
      </c>
      <c r="FO103" s="1493">
        <v>2964481</v>
      </c>
      <c r="FP103" s="1493">
        <v>3000000</v>
      </c>
      <c r="FQ103" s="1493">
        <v>2868852</v>
      </c>
      <c r="FR103" s="1493">
        <v>3000000</v>
      </c>
      <c r="FS103" s="1493">
        <v>3013889</v>
      </c>
      <c r="FT103" s="1494">
        <v>3000000</v>
      </c>
      <c r="FU103" s="1493">
        <v>2722222</v>
      </c>
      <c r="FV103" s="1493">
        <v>3000000</v>
      </c>
      <c r="FW103" s="1493">
        <v>3013889</v>
      </c>
      <c r="FX103" s="1494">
        <v>3000000</v>
      </c>
      <c r="FY103" s="1493">
        <v>3013889</v>
      </c>
      <c r="FZ103" s="1494">
        <v>3000000</v>
      </c>
      <c r="GA103" s="1493">
        <v>2138889</v>
      </c>
      <c r="GB103" s="1493"/>
      <c r="GC103" s="1479"/>
      <c r="GD103" s="1425"/>
      <c r="GE103" s="1425"/>
    </row>
    <row r="104" spans="1:187" outlineLevel="1">
      <c r="R104" s="1429"/>
      <c r="S104" s="1497"/>
      <c r="T104" s="1482">
        <f t="shared" si="66"/>
        <v>0</v>
      </c>
      <c r="U104" s="1482">
        <f>SUMIF(Z$99:$AO$99,$U$99,Z104:AO104)</f>
        <v>0</v>
      </c>
      <c r="V104" s="1483"/>
      <c r="W104" s="1484"/>
      <c r="X104" s="1483"/>
      <c r="Y104" s="1484"/>
      <c r="Z104" s="1495"/>
      <c r="AA104" s="1474"/>
      <c r="AB104" s="1476"/>
      <c r="AC104" s="1474"/>
      <c r="AD104" s="1476">
        <v>0</v>
      </c>
      <c r="AE104" s="1474">
        <v>0</v>
      </c>
      <c r="AF104" s="1495">
        <v>0</v>
      </c>
      <c r="AG104" s="1474">
        <v>0</v>
      </c>
      <c r="AH104" s="1495">
        <v>0</v>
      </c>
      <c r="AI104" s="1474">
        <v>0</v>
      </c>
      <c r="AJ104" s="1495">
        <v>0</v>
      </c>
      <c r="AK104" s="1474"/>
      <c r="AL104" s="1495">
        <v>0</v>
      </c>
      <c r="AM104" s="1474"/>
      <c r="AN104" s="1495">
        <v>0</v>
      </c>
      <c r="AO104" s="1474"/>
      <c r="AP104" s="1495">
        <v>0</v>
      </c>
      <c r="AQ104" s="1474"/>
      <c r="AR104" s="1479">
        <v>0</v>
      </c>
      <c r="AS104" s="1474"/>
      <c r="AT104" s="1479">
        <v>0</v>
      </c>
      <c r="AU104" s="1479"/>
      <c r="AV104" s="1479">
        <v>0</v>
      </c>
      <c r="AW104" s="1479"/>
      <c r="AX104" s="1479">
        <v>0</v>
      </c>
      <c r="AY104" s="1479"/>
      <c r="AZ104" s="1479">
        <v>0</v>
      </c>
      <c r="BA104" s="1479"/>
      <c r="BB104" s="1479">
        <v>0</v>
      </c>
      <c r="BC104" s="1479"/>
      <c r="BD104" s="1479">
        <v>0</v>
      </c>
      <c r="BE104" s="1479"/>
      <c r="BF104" s="1479">
        <v>0</v>
      </c>
      <c r="BG104" s="1479"/>
      <c r="BH104" s="1479">
        <v>0</v>
      </c>
      <c r="BI104" s="1474"/>
      <c r="BJ104" s="1479">
        <v>0</v>
      </c>
      <c r="BK104" s="1474"/>
      <c r="BL104" s="1479">
        <v>0</v>
      </c>
      <c r="BM104" s="1474"/>
      <c r="BN104" s="1479">
        <v>0</v>
      </c>
      <c r="BO104" s="1474"/>
      <c r="BP104" s="1479">
        <v>0</v>
      </c>
      <c r="BQ104" s="1474"/>
      <c r="BR104" s="1479">
        <v>0</v>
      </c>
      <c r="BS104" s="1474"/>
      <c r="BT104" s="1479"/>
      <c r="BU104" s="1474"/>
      <c r="BV104" s="1479"/>
      <c r="BW104" s="1474"/>
      <c r="BX104" s="1496"/>
      <c r="BY104" s="1472"/>
      <c r="BZ104" s="1472"/>
      <c r="CA104" s="1472"/>
      <c r="CB104" s="1472"/>
      <c r="CC104" s="1472"/>
      <c r="CD104" s="1472"/>
      <c r="CE104" s="1472"/>
      <c r="CF104" s="1472"/>
      <c r="CG104" s="1472"/>
      <c r="CH104" s="1472"/>
      <c r="CI104" s="1472"/>
      <c r="CJ104" s="1472"/>
      <c r="CK104" s="1472"/>
      <c r="CL104" s="1472"/>
      <c r="CM104" s="1472"/>
      <c r="CN104" s="1472"/>
      <c r="CO104" s="1472"/>
      <c r="CP104" s="1472"/>
      <c r="CQ104" s="1472"/>
      <c r="CR104" s="1472"/>
      <c r="CS104" s="1472"/>
      <c r="CT104" s="1472"/>
      <c r="CU104" s="1472"/>
      <c r="CV104" s="1472"/>
      <c r="CW104" s="1472"/>
      <c r="CX104" s="1472"/>
      <c r="CY104" s="1482"/>
      <c r="CZ104" s="1472"/>
      <c r="DA104" s="1482"/>
      <c r="DB104" s="1472"/>
      <c r="DC104" s="1482"/>
      <c r="DD104" s="1472"/>
      <c r="DE104" s="1482"/>
      <c r="DF104" s="1472"/>
      <c r="DG104" s="1482"/>
      <c r="DH104" s="1472"/>
      <c r="DI104" s="1482"/>
      <c r="DJ104" s="1472"/>
      <c r="DK104" s="1482"/>
      <c r="DL104" s="1472"/>
      <c r="DM104" s="1482"/>
      <c r="DN104" s="1472"/>
      <c r="DO104" s="1482"/>
      <c r="DP104" s="1472"/>
      <c r="DQ104" s="1482"/>
      <c r="DR104" s="1472"/>
      <c r="DS104" s="1482"/>
      <c r="DT104" s="1472"/>
      <c r="DU104" s="1472"/>
      <c r="DV104" s="1472"/>
      <c r="DW104" s="1472"/>
      <c r="DX104" s="1472"/>
      <c r="DY104" s="1472"/>
      <c r="DZ104" s="1472"/>
      <c r="EA104" s="1472"/>
      <c r="EB104" s="1472"/>
      <c r="EC104" s="1472"/>
      <c r="ED104" s="1472"/>
      <c r="EE104" s="1472"/>
      <c r="EF104" s="1492"/>
      <c r="EG104" s="1492"/>
      <c r="EH104" s="1479"/>
      <c r="EI104" s="1479"/>
      <c r="EJ104" s="1479"/>
      <c r="EK104" s="1479"/>
      <c r="EL104" s="1479"/>
      <c r="EM104" s="1479"/>
      <c r="EN104" s="1479"/>
      <c r="EO104" s="1479"/>
      <c r="EP104" s="1479"/>
      <c r="EQ104" s="1479"/>
      <c r="ER104" s="1479"/>
      <c r="ES104" s="1479"/>
      <c r="ET104" s="1479"/>
      <c r="EU104" s="1479"/>
      <c r="EV104" s="1479"/>
      <c r="EW104" s="1479"/>
      <c r="EX104" s="1479"/>
      <c r="EY104" s="1479"/>
      <c r="EZ104" s="1479"/>
      <c r="FA104" s="1479"/>
      <c r="FB104" s="1479"/>
      <c r="FC104" s="1479"/>
      <c r="FD104" s="1479"/>
      <c r="FE104" s="1479"/>
      <c r="FF104" s="1479"/>
      <c r="FG104" s="1479"/>
      <c r="FH104" s="1479"/>
      <c r="FI104" s="1479"/>
      <c r="FJ104" s="1479"/>
      <c r="FK104" s="1479"/>
      <c r="FL104" s="1479"/>
      <c r="FM104" s="1479"/>
      <c r="FN104" s="1479"/>
      <c r="FO104" s="1493"/>
      <c r="FP104" s="1493"/>
      <c r="FQ104" s="1493"/>
      <c r="FR104" s="1493"/>
      <c r="FS104" s="1493"/>
      <c r="FT104" s="1493"/>
      <c r="FU104" s="1493"/>
      <c r="FV104" s="1493"/>
      <c r="FW104" s="1493"/>
      <c r="FX104" s="1494"/>
      <c r="FY104" s="1493"/>
      <c r="FZ104" s="1494"/>
      <c r="GA104" s="1493"/>
      <c r="GB104" s="1493"/>
      <c r="GC104" s="1479"/>
      <c r="GD104" s="1425"/>
      <c r="GE104" s="1425"/>
    </row>
    <row r="105" spans="1:187" s="1425" customFormat="1" outlineLevel="1">
      <c r="A105" s="1429"/>
      <c r="B105" s="1429"/>
      <c r="C105" s="1429"/>
      <c r="D105" s="1429"/>
      <c r="E105" s="1429"/>
      <c r="F105" s="1429"/>
      <c r="G105" s="1429"/>
      <c r="H105" s="1429"/>
      <c r="I105" s="1429"/>
      <c r="J105" s="1429"/>
      <c r="K105" s="1429"/>
      <c r="L105" s="1429"/>
      <c r="M105" s="1429"/>
      <c r="N105" s="1498" t="s">
        <v>1018</v>
      </c>
      <c r="O105" s="1498"/>
      <c r="Q105" s="1279"/>
      <c r="R105" s="1429">
        <v>4</v>
      </c>
      <c r="S105" s="1499" t="s">
        <v>849</v>
      </c>
      <c r="T105" s="1482">
        <f t="shared" si="66"/>
        <v>105267453.59999999</v>
      </c>
      <c r="U105" s="1482">
        <f>SUMIF(Z$99:$AO$99,$U$99,Z105:AO105)</f>
        <v>171031498</v>
      </c>
      <c r="V105" s="1483">
        <v>11980866.699999999</v>
      </c>
      <c r="W105" s="1484">
        <f>'3-2) 손익계산서(월간)'!D26</f>
        <v>16602574</v>
      </c>
      <c r="X105" s="1483">
        <f>11712666.7</f>
        <v>11712666.699999999</v>
      </c>
      <c r="Y105" s="1484">
        <v>16607870</v>
      </c>
      <c r="Z105" s="1485">
        <v>11980866.699999999</v>
      </c>
      <c r="AA105" s="1484">
        <v>40835280</v>
      </c>
      <c r="AB105" s="1486">
        <v>11712666.6</v>
      </c>
      <c r="AC105" s="1484">
        <v>17686132</v>
      </c>
      <c r="AD105" s="1487">
        <v>11980867</v>
      </c>
      <c r="AE105" s="1474">
        <v>21139093</v>
      </c>
      <c r="AF105" s="1485">
        <v>11176267</v>
      </c>
      <c r="AG105" s="1474">
        <v>17627592</v>
      </c>
      <c r="AH105" s="1485">
        <v>11980867</v>
      </c>
      <c r="AI105" s="1474">
        <v>19779819</v>
      </c>
      <c r="AJ105" s="1485">
        <v>11980866.6</v>
      </c>
      <c r="AK105" s="1484">
        <v>17823074</v>
      </c>
      <c r="AL105" s="1485">
        <v>11712667</v>
      </c>
      <c r="AM105" s="1484">
        <v>17662127</v>
      </c>
      <c r="AN105" s="1485">
        <v>11029719</v>
      </c>
      <c r="AO105" s="1484">
        <v>18478381</v>
      </c>
      <c r="AP105" s="1485">
        <v>10029050</v>
      </c>
      <c r="AQ105" s="1484">
        <v>23021360</v>
      </c>
      <c r="AR105" s="1488">
        <v>10241130</v>
      </c>
      <c r="AS105" s="1484">
        <v>18313842</v>
      </c>
      <c r="AT105" s="1488">
        <v>10241130</v>
      </c>
      <c r="AU105" s="1489">
        <v>19132141</v>
      </c>
      <c r="AV105" s="1488">
        <v>10029050</v>
      </c>
      <c r="AW105" s="1489">
        <v>17473623</v>
      </c>
      <c r="AX105" s="1488">
        <v>10241130</v>
      </c>
      <c r="AY105" s="1489">
        <v>18102872</v>
      </c>
      <c r="AZ105" s="1488">
        <v>10029050</v>
      </c>
      <c r="BA105" s="1489">
        <v>17370363</v>
      </c>
      <c r="BB105" s="1488">
        <v>10241130</v>
      </c>
      <c r="BC105" s="1489">
        <v>17213926</v>
      </c>
      <c r="BD105" s="1488">
        <v>9604891</v>
      </c>
      <c r="BE105" s="1489">
        <v>15531638</v>
      </c>
      <c r="BF105" s="1488">
        <v>10241130</v>
      </c>
      <c r="BG105" s="1489">
        <v>16831816</v>
      </c>
      <c r="BH105" s="1488">
        <v>10241130</v>
      </c>
      <c r="BI105" s="1484">
        <v>17092667</v>
      </c>
      <c r="BJ105" s="1488">
        <v>10029050</v>
      </c>
      <c r="BK105" s="1484">
        <v>16803336</v>
      </c>
      <c r="BL105" s="1488">
        <v>10241130</v>
      </c>
      <c r="BM105" s="1484">
        <v>17336859</v>
      </c>
      <c r="BN105" s="1488">
        <v>15345555</v>
      </c>
      <c r="BO105" s="1484">
        <v>17409086</v>
      </c>
      <c r="BP105" s="1489">
        <v>15745963</v>
      </c>
      <c r="BQ105" s="1484">
        <v>44924178</v>
      </c>
      <c r="BR105" s="1489">
        <v>15903263</v>
      </c>
      <c r="BS105" s="1484">
        <v>17876775</v>
      </c>
      <c r="BT105" s="1489">
        <v>17136267</v>
      </c>
      <c r="BU105" s="1484">
        <v>17278034</v>
      </c>
      <c r="BV105" s="1489">
        <v>15745963</v>
      </c>
      <c r="BW105" s="1484">
        <v>17611558</v>
      </c>
      <c r="BX105" s="1491">
        <v>15345555.2511416</v>
      </c>
      <c r="BY105" s="1482">
        <v>20023270</v>
      </c>
      <c r="BZ105" s="1482">
        <v>15745962.648401823</v>
      </c>
      <c r="CA105" s="1482">
        <v>16954372</v>
      </c>
      <c r="CB105" s="1482">
        <v>14691040.456621002</v>
      </c>
      <c r="CC105" s="1482">
        <v>17719998</v>
      </c>
      <c r="CD105" s="1482">
        <v>11640208.3333333</v>
      </c>
      <c r="CE105" s="1482">
        <v>17719998</v>
      </c>
      <c r="CF105" s="1482">
        <v>3333333.3333333298</v>
      </c>
      <c r="CG105" s="1482">
        <v>18606645</v>
      </c>
      <c r="CH105" s="1482">
        <v>4649552.0833333293</v>
      </c>
      <c r="CI105" s="1482">
        <v>15907655</v>
      </c>
      <c r="CJ105" s="1472">
        <v>3333333.3333333335</v>
      </c>
      <c r="CK105" s="1482">
        <v>15666565</v>
      </c>
      <c r="CL105" s="1472">
        <v>38756208.333333299</v>
      </c>
      <c r="CM105" s="1482">
        <v>11085335970</v>
      </c>
      <c r="CN105" s="1472">
        <v>38883391.666666701</v>
      </c>
      <c r="CO105" s="1482">
        <v>15385779</v>
      </c>
      <c r="CP105" s="1472">
        <v>38883391.666666664</v>
      </c>
      <c r="CQ105" s="1482">
        <v>15375370</v>
      </c>
      <c r="CR105" s="1472">
        <v>38883391.666666701</v>
      </c>
      <c r="CS105" s="1482">
        <v>14334765</v>
      </c>
      <c r="CT105" s="1472">
        <v>38883391.666666701</v>
      </c>
      <c r="CU105" s="1482">
        <v>13027798</v>
      </c>
      <c r="CV105" s="1472">
        <v>38883391.666666701</v>
      </c>
      <c r="CW105" s="1482">
        <v>13184268</v>
      </c>
      <c r="CX105" s="1472">
        <v>38883391.666666701</v>
      </c>
      <c r="CY105" s="1482">
        <v>-9648354</v>
      </c>
      <c r="CZ105" s="1472">
        <v>38883391.666666701</v>
      </c>
      <c r="DA105" s="1482">
        <v>12859864</v>
      </c>
      <c r="DB105" s="1472">
        <v>38883391.666666701</v>
      </c>
      <c r="DC105" s="1482">
        <v>13703317</v>
      </c>
      <c r="DD105" s="1472">
        <v>38883392</v>
      </c>
      <c r="DE105" s="1482">
        <v>14241219</v>
      </c>
      <c r="DF105" s="1472">
        <v>38883392</v>
      </c>
      <c r="DG105" s="1482">
        <v>39557602</v>
      </c>
      <c r="DH105" s="1472">
        <v>38883392</v>
      </c>
      <c r="DI105" s="1482">
        <v>14206892</v>
      </c>
      <c r="DJ105" s="1472">
        <v>20058533.333333332</v>
      </c>
      <c r="DK105" s="1482">
        <v>13595327</v>
      </c>
      <c r="DL105" s="1472">
        <v>20058533.333333332</v>
      </c>
      <c r="DM105" s="1482">
        <v>13958319</v>
      </c>
      <c r="DN105" s="1472">
        <v>20058533.333333332</v>
      </c>
      <c r="DO105" s="1482">
        <v>14111659</v>
      </c>
      <c r="DP105" s="1472">
        <v>20058533.333333332</v>
      </c>
      <c r="DQ105" s="1482">
        <v>13403319</v>
      </c>
      <c r="DR105" s="1472">
        <v>20058533.333333332</v>
      </c>
      <c r="DS105" s="1482">
        <v>13266724</v>
      </c>
      <c r="DT105" s="1472">
        <v>20058533.333333299</v>
      </c>
      <c r="DU105" s="1472">
        <v>12297912</v>
      </c>
      <c r="DV105" s="1472">
        <v>20058533.333333299</v>
      </c>
      <c r="DW105" s="1472">
        <v>12523254</v>
      </c>
      <c r="DX105" s="1472">
        <v>20058533</v>
      </c>
      <c r="DY105" s="1492">
        <v>11876591</v>
      </c>
      <c r="DZ105" s="1472">
        <v>20058533</v>
      </c>
      <c r="EA105" s="1492">
        <v>12653763</v>
      </c>
      <c r="EB105" s="1472">
        <v>20058533</v>
      </c>
      <c r="EC105" s="1492">
        <v>11316134</v>
      </c>
      <c r="ED105" s="1472">
        <v>20058533</v>
      </c>
      <c r="EE105" s="1492">
        <v>11023218</v>
      </c>
      <c r="EF105" s="1492">
        <v>20058533</v>
      </c>
      <c r="EG105" s="1492">
        <v>10512987</v>
      </c>
      <c r="EH105" s="1479">
        <v>23418472.993412834</v>
      </c>
      <c r="EI105" s="1479">
        <v>10084897</v>
      </c>
      <c r="EJ105" s="1479">
        <v>16088093.826746132</v>
      </c>
      <c r="EK105" s="1479">
        <v>10588506</v>
      </c>
      <c r="EL105" s="1479">
        <v>15079425.562508833</v>
      </c>
      <c r="EM105" s="1479">
        <v>10910567</v>
      </c>
      <c r="EN105" s="1479">
        <v>15027263.062508833</v>
      </c>
      <c r="EO105" s="1479">
        <v>10421138</v>
      </c>
      <c r="EP105" s="1479">
        <v>13444139.583342232</v>
      </c>
      <c r="EQ105" s="1479">
        <v>10558842</v>
      </c>
      <c r="ER105" s="1479">
        <v>12536631.251008883</v>
      </c>
      <c r="ES105" s="1479">
        <v>9929804</v>
      </c>
      <c r="ET105" s="1479">
        <v>12536631.250008885</v>
      </c>
      <c r="EU105" s="1479">
        <v>7910322</v>
      </c>
      <c r="EV105" s="1479">
        <v>7496202.0833422132</v>
      </c>
      <c r="EW105" s="1479">
        <v>6232100</v>
      </c>
      <c r="EX105" s="1479">
        <v>6089006.2500000028</v>
      </c>
      <c r="EY105" s="1479">
        <v>6311340</v>
      </c>
      <c r="EZ105" s="1479">
        <v>5810568.7500000028</v>
      </c>
      <c r="FA105" s="1479">
        <v>6522238</v>
      </c>
      <c r="FB105" s="1479">
        <v>3589358.3333333302</v>
      </c>
      <c r="FC105" s="1479">
        <v>5878354</v>
      </c>
      <c r="FD105" s="1479">
        <v>11000000</v>
      </c>
      <c r="FE105" s="1479">
        <v>5939368</v>
      </c>
      <c r="FF105" s="1479">
        <v>11000000</v>
      </c>
      <c r="FG105" s="1479">
        <v>5271172</v>
      </c>
      <c r="FH105" s="1479">
        <v>11000000</v>
      </c>
      <c r="FI105" s="1479">
        <v>5367657</v>
      </c>
      <c r="FJ105" s="1479">
        <v>10000000</v>
      </c>
      <c r="FK105" s="1479">
        <v>4915204</v>
      </c>
      <c r="FL105" s="1479">
        <v>9000000</v>
      </c>
      <c r="FM105" s="1479">
        <v>3943946</v>
      </c>
      <c r="FN105" s="1479">
        <v>9000000</v>
      </c>
      <c r="FO105" s="1493">
        <v>8900150</v>
      </c>
      <c r="FP105" s="1493">
        <v>9000000</v>
      </c>
      <c r="FQ105" s="1493">
        <v>3625098</v>
      </c>
      <c r="FR105" s="1494">
        <v>5000000</v>
      </c>
      <c r="FS105" s="1494">
        <v>8143150</v>
      </c>
      <c r="FT105" s="1494">
        <v>5000000</v>
      </c>
      <c r="FU105" s="1493">
        <v>19688710</v>
      </c>
      <c r="FV105" s="1493">
        <v>4000000</v>
      </c>
      <c r="FW105" s="1494">
        <v>26468609</v>
      </c>
      <c r="FX105" s="1494">
        <v>4000000</v>
      </c>
      <c r="FY105" s="1493">
        <v>8752370</v>
      </c>
      <c r="FZ105" s="1494">
        <v>4000000</v>
      </c>
      <c r="GA105" s="1493">
        <v>8158600</v>
      </c>
      <c r="GB105" s="1493"/>
      <c r="GC105" s="1479"/>
      <c r="GD105" s="1425" t="s">
        <v>254</v>
      </c>
    </row>
    <row r="106" spans="1:187" s="1425" customFormat="1" ht="17.25" customHeight="1" outlineLevel="1">
      <c r="A106" s="1429"/>
      <c r="B106" s="1429"/>
      <c r="C106" s="1429"/>
      <c r="D106" s="1429"/>
      <c r="E106" s="1429"/>
      <c r="F106" s="1429"/>
      <c r="G106" s="1429"/>
      <c r="H106" s="1429"/>
      <c r="I106" s="1429"/>
      <c r="J106" s="1429"/>
      <c r="K106" s="1429"/>
      <c r="L106" s="1429"/>
      <c r="M106" s="1429"/>
      <c r="N106" s="1429" t="s">
        <v>849</v>
      </c>
      <c r="O106" s="1429"/>
      <c r="Q106" s="1279"/>
      <c r="R106" s="1429">
        <v>5</v>
      </c>
      <c r="S106" s="1481" t="s">
        <v>843</v>
      </c>
      <c r="T106" s="1482">
        <f t="shared" si="66"/>
        <v>19388797.665753424</v>
      </c>
      <c r="U106" s="1482">
        <f>SUMIF(Z$99:$AO$99,$U$99,Z106:AO106)</f>
        <v>11200000</v>
      </c>
      <c r="V106" s="1483">
        <v>180895</v>
      </c>
      <c r="W106" s="1484">
        <f>'3-2) 손익계산서(월간)'!D20</f>
        <v>1400000</v>
      </c>
      <c r="X106" s="1483">
        <v>2059318.7999999998</v>
      </c>
      <c r="Y106" s="1484">
        <v>1400000</v>
      </c>
      <c r="Z106" s="1495">
        <v>0</v>
      </c>
      <c r="AA106" s="1474">
        <v>1400000</v>
      </c>
      <c r="AB106" s="1476">
        <v>168245</v>
      </c>
      <c r="AC106" s="1474">
        <v>1400000</v>
      </c>
      <c r="AD106" s="1476">
        <v>1897500</v>
      </c>
      <c r="AE106" s="1474">
        <v>1400000</v>
      </c>
      <c r="AF106" s="1495">
        <v>168245</v>
      </c>
      <c r="AG106" s="1474">
        <v>1400000</v>
      </c>
      <c r="AH106" s="1495">
        <v>1897500</v>
      </c>
      <c r="AI106" s="1474">
        <v>1400000</v>
      </c>
      <c r="AJ106" s="1495">
        <v>5990320.8657534253</v>
      </c>
      <c r="AK106" s="1474">
        <v>1400000</v>
      </c>
      <c r="AL106" s="1495">
        <v>4157427</v>
      </c>
      <c r="AM106" s="1474">
        <v>1400000</v>
      </c>
      <c r="AN106" s="1495">
        <v>3050241</v>
      </c>
      <c r="AO106" s="1474">
        <v>1400000</v>
      </c>
      <c r="AP106" s="1495">
        <v>2370610</v>
      </c>
      <c r="AQ106" s="1474">
        <v>1400000</v>
      </c>
      <c r="AR106" s="1479">
        <v>189750</v>
      </c>
      <c r="AS106" s="1474">
        <v>1400000</v>
      </c>
      <c r="AT106" s="1479">
        <v>180895</v>
      </c>
      <c r="AU106" s="1479">
        <v>1400000</v>
      </c>
      <c r="AV106" s="1479">
        <v>2059319</v>
      </c>
      <c r="AW106" s="1479">
        <v>1400000</v>
      </c>
      <c r="AX106" s="1479">
        <v>0</v>
      </c>
      <c r="AY106" s="1479">
        <v>1400000</v>
      </c>
      <c r="AZ106" s="1479">
        <v>168245</v>
      </c>
      <c r="BA106" s="1479">
        <v>1400000</v>
      </c>
      <c r="BB106" s="1479">
        <v>1897500</v>
      </c>
      <c r="BC106" s="1479">
        <v>1400000</v>
      </c>
      <c r="BD106" s="1479">
        <v>168245</v>
      </c>
      <c r="BE106" s="1479">
        <v>1400000</v>
      </c>
      <c r="BF106" s="1479">
        <v>1897500</v>
      </c>
      <c r="BG106" s="1479">
        <v>1400000</v>
      </c>
      <c r="BH106" s="1479">
        <v>5990321</v>
      </c>
      <c r="BI106" s="1474">
        <v>1400000</v>
      </c>
      <c r="BJ106" s="1479">
        <v>4157427</v>
      </c>
      <c r="BK106" s="1474">
        <v>1400000</v>
      </c>
      <c r="BL106" s="1479">
        <v>3050241</v>
      </c>
      <c r="BM106" s="1474">
        <v>1400000</v>
      </c>
      <c r="BN106" s="1479">
        <v>2061400</v>
      </c>
      <c r="BO106" s="1474">
        <v>1400000</v>
      </c>
      <c r="BP106" s="1479">
        <v>165000</v>
      </c>
      <c r="BQ106" s="1474">
        <v>1400000</v>
      </c>
      <c r="BR106" s="1479">
        <v>1650000</v>
      </c>
      <c r="BS106" s="1474">
        <v>1400000</v>
      </c>
      <c r="BT106" s="1479">
        <v>1650000</v>
      </c>
      <c r="BU106" s="1474">
        <v>1400000</v>
      </c>
      <c r="BV106" s="1479">
        <v>1650000</v>
      </c>
      <c r="BW106" s="1474">
        <v>1400000</v>
      </c>
      <c r="BX106" s="1496">
        <v>1650000</v>
      </c>
      <c r="BY106" s="1472">
        <v>1400000</v>
      </c>
      <c r="BZ106" s="1472">
        <v>1650000</v>
      </c>
      <c r="CA106" s="1472">
        <v>1400000</v>
      </c>
      <c r="CB106" s="1472">
        <v>0</v>
      </c>
      <c r="CC106" s="1472">
        <v>1400000</v>
      </c>
      <c r="CD106" s="1472">
        <v>0</v>
      </c>
      <c r="CE106" s="1472">
        <v>1400000</v>
      </c>
      <c r="CF106" s="1472">
        <v>0</v>
      </c>
      <c r="CG106" s="1482">
        <v>1400000</v>
      </c>
      <c r="CH106" s="1472">
        <v>0</v>
      </c>
      <c r="CI106" s="1482">
        <v>1400000</v>
      </c>
      <c r="CJ106" s="1472">
        <v>0</v>
      </c>
      <c r="CK106" s="1482">
        <v>1082624</v>
      </c>
      <c r="CL106" s="1472">
        <v>0</v>
      </c>
      <c r="CM106" s="1482">
        <v>1500000</v>
      </c>
      <c r="CN106" s="1472">
        <v>0</v>
      </c>
      <c r="CO106" s="1482">
        <v>0</v>
      </c>
      <c r="CP106" s="1472">
        <v>0</v>
      </c>
      <c r="CQ106" s="1482">
        <v>0</v>
      </c>
      <c r="CR106" s="1472">
        <v>1500000</v>
      </c>
      <c r="CS106" s="1482">
        <v>1500000</v>
      </c>
      <c r="CT106" s="1472">
        <v>0</v>
      </c>
      <c r="CU106" s="1482">
        <v>0</v>
      </c>
      <c r="CV106" s="1472">
        <v>0</v>
      </c>
      <c r="CW106" s="1482">
        <v>0</v>
      </c>
      <c r="CX106" s="1472">
        <v>1500000</v>
      </c>
      <c r="CY106" s="1482">
        <v>1500000</v>
      </c>
      <c r="CZ106" s="1472">
        <v>0</v>
      </c>
      <c r="DA106" s="1482">
        <v>0</v>
      </c>
      <c r="DB106" s="1472">
        <v>0</v>
      </c>
      <c r="DC106" s="1482">
        <v>1500000</v>
      </c>
      <c r="DD106" s="1472">
        <v>1500000</v>
      </c>
      <c r="DE106" s="1482">
        <v>0</v>
      </c>
      <c r="DF106" s="1472">
        <v>0</v>
      </c>
      <c r="DG106" s="1482">
        <v>0</v>
      </c>
      <c r="DH106" s="1472">
        <v>0</v>
      </c>
      <c r="DI106" s="1482">
        <v>0</v>
      </c>
      <c r="DJ106" s="1472">
        <v>1500000</v>
      </c>
      <c r="DK106" s="1482">
        <v>1500000</v>
      </c>
      <c r="DL106" s="1472">
        <v>0</v>
      </c>
      <c r="DM106" s="1482">
        <v>0</v>
      </c>
      <c r="DN106" s="1472">
        <v>0</v>
      </c>
      <c r="DO106" s="1482">
        <v>0</v>
      </c>
      <c r="DP106" s="1472">
        <v>1500000</v>
      </c>
      <c r="DQ106" s="1482">
        <v>1500000</v>
      </c>
      <c r="DR106" s="1472">
        <v>0</v>
      </c>
      <c r="DS106" s="1482">
        <v>0</v>
      </c>
      <c r="DT106" s="1472">
        <v>0</v>
      </c>
      <c r="DU106" s="1472">
        <v>0</v>
      </c>
      <c r="DV106" s="1472">
        <v>1500000</v>
      </c>
      <c r="DW106" s="1472">
        <v>1500000</v>
      </c>
      <c r="DX106" s="1472">
        <v>0</v>
      </c>
      <c r="DY106" s="1492">
        <v>0</v>
      </c>
      <c r="DZ106" s="1472">
        <v>0</v>
      </c>
      <c r="EA106" s="1492">
        <v>1500000</v>
      </c>
      <c r="EB106" s="1472">
        <v>1500000</v>
      </c>
      <c r="EC106" s="1492">
        <v>0</v>
      </c>
      <c r="ED106" s="1472">
        <v>0</v>
      </c>
      <c r="EE106" s="1492">
        <v>0</v>
      </c>
      <c r="EF106" s="1492">
        <v>0</v>
      </c>
      <c r="EG106" s="1492">
        <v>0</v>
      </c>
      <c r="EH106" s="1479">
        <v>0</v>
      </c>
      <c r="EI106" s="1479">
        <v>1500000</v>
      </c>
      <c r="EJ106" s="1479">
        <v>0</v>
      </c>
      <c r="EK106" s="1479">
        <v>0</v>
      </c>
      <c r="EL106" s="1479">
        <v>0</v>
      </c>
      <c r="EM106" s="1479">
        <v>0</v>
      </c>
      <c r="EN106" s="1479">
        <v>0</v>
      </c>
      <c r="EO106" s="1479">
        <v>1500000</v>
      </c>
      <c r="EP106" s="1479">
        <v>0</v>
      </c>
      <c r="EQ106" s="1479">
        <v>0</v>
      </c>
      <c r="ER106" s="1479">
        <v>0</v>
      </c>
      <c r="ES106" s="1479">
        <v>0</v>
      </c>
      <c r="ET106" s="1479">
        <v>0</v>
      </c>
      <c r="EU106" s="1479">
        <v>1500000</v>
      </c>
      <c r="EV106" s="1479">
        <v>0</v>
      </c>
      <c r="EW106" s="1479">
        <v>0</v>
      </c>
      <c r="EX106" s="1479">
        <v>0</v>
      </c>
      <c r="EY106" s="1479">
        <v>0</v>
      </c>
      <c r="EZ106" s="1479">
        <v>0</v>
      </c>
      <c r="FA106" s="1479">
        <v>1500000</v>
      </c>
      <c r="FB106" s="1479">
        <v>0</v>
      </c>
      <c r="FC106" s="1479">
        <v>0</v>
      </c>
      <c r="FD106" s="1479">
        <v>0</v>
      </c>
      <c r="FE106" s="1479">
        <v>0</v>
      </c>
      <c r="FF106" s="1479">
        <v>0</v>
      </c>
      <c r="FG106" s="1479">
        <v>1500000</v>
      </c>
      <c r="FH106" s="1479">
        <v>0</v>
      </c>
      <c r="FI106" s="1479">
        <v>0</v>
      </c>
      <c r="FJ106" s="1479">
        <v>0</v>
      </c>
      <c r="FK106" s="1479">
        <v>0</v>
      </c>
      <c r="FL106" s="1479">
        <v>0</v>
      </c>
      <c r="FM106" s="1479">
        <v>1500000</v>
      </c>
      <c r="FN106" s="1479">
        <v>0</v>
      </c>
      <c r="FO106" s="1493">
        <v>0</v>
      </c>
      <c r="FP106" s="1493">
        <v>0</v>
      </c>
      <c r="FQ106" s="1493">
        <v>0</v>
      </c>
      <c r="FR106" s="1493">
        <v>0</v>
      </c>
      <c r="FS106" s="1493">
        <v>1500000</v>
      </c>
      <c r="FT106" s="1493">
        <v>0</v>
      </c>
      <c r="FU106" s="1493">
        <v>0</v>
      </c>
      <c r="FV106" s="1493">
        <v>0</v>
      </c>
      <c r="FW106" s="1493">
        <v>0</v>
      </c>
      <c r="FX106" s="1494">
        <v>0</v>
      </c>
      <c r="FY106" s="1493">
        <v>1500000</v>
      </c>
      <c r="FZ106" s="1494">
        <v>0</v>
      </c>
      <c r="GA106" s="1493">
        <v>0</v>
      </c>
      <c r="GB106" s="1493"/>
      <c r="GC106" s="1479"/>
    </row>
    <row r="107" spans="1:187" s="1425" customFormat="1" outlineLevel="1">
      <c r="A107" s="1429"/>
      <c r="B107" s="1429"/>
      <c r="C107" s="1429"/>
      <c r="D107" s="1429"/>
      <c r="E107" s="1429"/>
      <c r="F107" s="1429"/>
      <c r="G107" s="1429"/>
      <c r="H107" s="1429"/>
      <c r="I107" s="1429"/>
      <c r="J107" s="1429"/>
      <c r="K107" s="1429"/>
      <c r="L107" s="1429"/>
      <c r="M107" s="1429"/>
      <c r="N107" s="1429"/>
      <c r="O107" s="1429"/>
      <c r="Q107" s="1279"/>
      <c r="R107" s="1429">
        <v>6</v>
      </c>
      <c r="S107" s="1497" t="s">
        <v>255</v>
      </c>
      <c r="T107" s="1482">
        <f t="shared" si="66"/>
        <v>30216994</v>
      </c>
      <c r="U107" s="1482">
        <f>SUMIF(Z$99:$AO$99,$U$99,Z107:AO107)</f>
        <v>30420012</v>
      </c>
      <c r="V107" s="1483">
        <v>3344580</v>
      </c>
      <c r="W107" s="1484">
        <f>'3-2) 손익계산서(월간)'!D28</f>
        <v>4143483</v>
      </c>
      <c r="X107" s="1483">
        <v>3322957</v>
      </c>
      <c r="Y107" s="1484">
        <v>3998415</v>
      </c>
      <c r="Z107" s="1485">
        <v>3433722</v>
      </c>
      <c r="AA107" s="1484">
        <v>4131696</v>
      </c>
      <c r="AB107" s="1486">
        <v>3322957</v>
      </c>
      <c r="AC107" s="1484">
        <v>3998706</v>
      </c>
      <c r="AD107" s="1487">
        <v>3433733</v>
      </c>
      <c r="AE107" s="1474">
        <v>4132825</v>
      </c>
      <c r="AF107" s="1485">
        <v>3101427</v>
      </c>
      <c r="AG107" s="1474">
        <v>4555294</v>
      </c>
      <c r="AH107" s="1485">
        <v>3433722</v>
      </c>
      <c r="AI107" s="1474">
        <v>3433722</v>
      </c>
      <c r="AJ107" s="1485">
        <v>3433722</v>
      </c>
      <c r="AK107" s="1484">
        <v>3433722</v>
      </c>
      <c r="AL107" s="1485">
        <v>3322957</v>
      </c>
      <c r="AM107" s="1484">
        <v>3322250</v>
      </c>
      <c r="AN107" s="1485">
        <v>3411797</v>
      </c>
      <c r="AO107" s="1484">
        <v>3411797</v>
      </c>
      <c r="AP107" s="1485">
        <v>1299754</v>
      </c>
      <c r="AQ107" s="1484">
        <v>3301739</v>
      </c>
      <c r="AR107" s="1488">
        <v>1305522</v>
      </c>
      <c r="AS107" s="1484">
        <v>3423086</v>
      </c>
      <c r="AT107" s="1488">
        <v>1314229</v>
      </c>
      <c r="AU107" s="1489">
        <v>3423086</v>
      </c>
      <c r="AV107" s="1488">
        <v>1307530</v>
      </c>
      <c r="AW107" s="1489">
        <v>3303250</v>
      </c>
      <c r="AX107" s="1488">
        <v>1355452</v>
      </c>
      <c r="AY107" s="1489">
        <v>3406875</v>
      </c>
      <c r="AZ107" s="1488">
        <v>1338100</v>
      </c>
      <c r="BA107" s="1489">
        <v>3288425</v>
      </c>
      <c r="BB107" s="1488">
        <v>1411923</v>
      </c>
      <c r="BC107" s="1489">
        <v>7383794</v>
      </c>
      <c r="BD107" s="1488">
        <v>1318352</v>
      </c>
      <c r="BE107" s="1489">
        <v>1312945</v>
      </c>
      <c r="BF107" s="1488">
        <v>1459604</v>
      </c>
      <c r="BG107" s="1489">
        <v>1459604</v>
      </c>
      <c r="BH107" s="1488">
        <v>1545065</v>
      </c>
      <c r="BI107" s="1484">
        <v>1459604</v>
      </c>
      <c r="BJ107" s="1488">
        <v>1495225</v>
      </c>
      <c r="BK107" s="1484">
        <v>1412520</v>
      </c>
      <c r="BL107" s="1488">
        <v>1545065</v>
      </c>
      <c r="BM107" s="1484">
        <v>1459604</v>
      </c>
      <c r="BN107" s="1488">
        <v>1513513</v>
      </c>
      <c r="BO107" s="1484">
        <v>1411392</v>
      </c>
      <c r="BP107" s="1489">
        <v>1555652</v>
      </c>
      <c r="BQ107" s="1484">
        <v>1461915</v>
      </c>
      <c r="BR107" s="1489">
        <v>1555652</v>
      </c>
      <c r="BS107" s="1484">
        <v>1452703</v>
      </c>
      <c r="BT107" s="1489">
        <v>1505470</v>
      </c>
      <c r="BU107" s="1484">
        <v>1410192</v>
      </c>
      <c r="BV107" s="1489">
        <v>1529356</v>
      </c>
      <c r="BW107" s="1484">
        <v>1452703</v>
      </c>
      <c r="BX107" s="1491">
        <v>1495042</v>
      </c>
      <c r="BY107" s="1482">
        <v>1412294</v>
      </c>
      <c r="BZ107" s="1482">
        <v>1544877</v>
      </c>
      <c r="CA107" s="1482">
        <v>1562399</v>
      </c>
      <c r="CB107" s="1482">
        <v>0</v>
      </c>
      <c r="CC107" s="1482">
        <v>1424469</v>
      </c>
      <c r="CD107" s="1482">
        <v>2334420.11457058</v>
      </c>
      <c r="CE107" s="1482">
        <v>1424469</v>
      </c>
      <c r="CF107" s="1482">
        <v>2334420.11457058</v>
      </c>
      <c r="CG107" s="1482">
        <v>1568035</v>
      </c>
      <c r="CH107" s="1482">
        <v>2334420.11457058</v>
      </c>
      <c r="CI107" s="1482">
        <v>1501622</v>
      </c>
      <c r="CJ107" s="1472">
        <v>2409175.586622478</v>
      </c>
      <c r="CK107" s="1482">
        <v>1556615</v>
      </c>
      <c r="CL107" s="1472">
        <v>2331460.24511853</v>
      </c>
      <c r="CM107" s="1482">
        <v>1495415</v>
      </c>
      <c r="CN107" s="1472">
        <v>2504365</v>
      </c>
      <c r="CO107" s="1482">
        <v>1540591</v>
      </c>
      <c r="CP107" s="1472">
        <v>2504034</v>
      </c>
      <c r="CQ107" s="1482">
        <v>1542104</v>
      </c>
      <c r="CR107" s="1472">
        <v>2357755</v>
      </c>
      <c r="CS107" s="1482">
        <v>1476896</v>
      </c>
      <c r="CT107" s="1472">
        <v>2436347</v>
      </c>
      <c r="CU107" s="1482">
        <v>1485154</v>
      </c>
      <c r="CV107" s="1472">
        <v>2357755</v>
      </c>
      <c r="CW107" s="1482">
        <v>1449769</v>
      </c>
      <c r="CX107" s="1472">
        <v>2418753</v>
      </c>
      <c r="CY107" s="1482">
        <v>53373</v>
      </c>
      <c r="CZ107" s="1472">
        <v>2251303</v>
      </c>
      <c r="DA107" s="1482">
        <v>2045795</v>
      </c>
      <c r="DB107" s="1472">
        <v>2337206</v>
      </c>
      <c r="DC107" s="1482">
        <v>2288370</v>
      </c>
      <c r="DD107" s="1472">
        <v>2288662</v>
      </c>
      <c r="DE107" s="1482">
        <v>2268404</v>
      </c>
      <c r="DF107" s="1472">
        <v>2214834</v>
      </c>
      <c r="DG107" s="1482">
        <v>2187291</v>
      </c>
      <c r="DH107" s="1472">
        <v>2260201</v>
      </c>
      <c r="DI107" s="1482">
        <v>2253214</v>
      </c>
      <c r="DJ107" s="1472">
        <v>2797202</v>
      </c>
      <c r="DK107" s="1482">
        <v>2199909</v>
      </c>
      <c r="DL107" s="1472">
        <v>2890442</v>
      </c>
      <c r="DM107" s="1482">
        <v>2287845</v>
      </c>
      <c r="DN107" s="1472">
        <v>2890077</v>
      </c>
      <c r="DO107" s="1482">
        <v>2262508</v>
      </c>
      <c r="DP107" s="1472">
        <v>2796848</v>
      </c>
      <c r="DQ107" s="1482">
        <v>2179991</v>
      </c>
      <c r="DR107" s="1472">
        <v>2860368</v>
      </c>
      <c r="DS107" s="1482">
        <v>2240060</v>
      </c>
      <c r="DT107" s="1472">
        <v>2768098</v>
      </c>
      <c r="DU107" s="1472">
        <v>2178339</v>
      </c>
      <c r="DV107" s="1472">
        <v>2860368</v>
      </c>
      <c r="DW107" s="1472">
        <v>1513754</v>
      </c>
      <c r="DX107" s="1472">
        <v>2586061</v>
      </c>
      <c r="DY107" s="1492">
        <v>2468046</v>
      </c>
      <c r="DZ107" s="1472">
        <v>2764410</v>
      </c>
      <c r="EA107" s="1492">
        <v>2638253</v>
      </c>
      <c r="EB107" s="1472">
        <v>2645984</v>
      </c>
      <c r="EC107" s="1492">
        <v>2597464</v>
      </c>
      <c r="ED107" s="1472">
        <v>2553151</v>
      </c>
      <c r="EE107" s="1492">
        <v>2513675</v>
      </c>
      <c r="EF107" s="1492">
        <v>2638256</v>
      </c>
      <c r="EG107" s="1492">
        <v>2579412</v>
      </c>
      <c r="EH107" s="1479">
        <v>1956525.9061634401</v>
      </c>
      <c r="EI107" s="1479">
        <v>2487891</v>
      </c>
      <c r="EJ107" s="1479">
        <v>2009713.30288944</v>
      </c>
      <c r="EK107" s="1479">
        <v>2570820</v>
      </c>
      <c r="EL107" s="1479">
        <v>2007171.47275245</v>
      </c>
      <c r="EM107" s="1479">
        <v>2555162</v>
      </c>
      <c r="EN107" s="1479">
        <v>1891359.1072593301</v>
      </c>
      <c r="EO107" s="1479">
        <v>2472137</v>
      </c>
      <c r="EP107" s="1479">
        <v>1945627.8946706899</v>
      </c>
      <c r="EQ107" s="1479">
        <v>2550342</v>
      </c>
      <c r="ER107" s="1479">
        <v>1882598.7127392001</v>
      </c>
      <c r="ES107" s="1479">
        <v>2515374</v>
      </c>
      <c r="ET107" s="1479">
        <v>1864654.7735748</v>
      </c>
      <c r="EU107" s="1479">
        <v>3041918</v>
      </c>
      <c r="EV107" s="1479">
        <v>1694840.8380817</v>
      </c>
      <c r="EW107" s="1479">
        <v>1845881</v>
      </c>
      <c r="EX107" s="1479">
        <v>1869591.69596581</v>
      </c>
      <c r="EY107" s="1479">
        <v>2045730</v>
      </c>
      <c r="EZ107" s="1479">
        <v>1892007.7025411499</v>
      </c>
      <c r="FA107" s="1479">
        <v>2037791</v>
      </c>
      <c r="FB107" s="1479">
        <v>1830975.19600756</v>
      </c>
      <c r="FC107" s="1479">
        <v>2029658</v>
      </c>
      <c r="FD107" s="1479">
        <v>3000000</v>
      </c>
      <c r="FE107" s="1479">
        <v>2097312</v>
      </c>
      <c r="FF107" s="1479">
        <v>3000000</v>
      </c>
      <c r="FG107" s="1479">
        <v>2006353.0999999996</v>
      </c>
      <c r="FH107" s="1479">
        <v>3000000</v>
      </c>
      <c r="FI107" s="1479">
        <v>2072977.9000000004</v>
      </c>
      <c r="FJ107" s="1479">
        <v>3000000</v>
      </c>
      <c r="FK107" s="1479">
        <v>2068100.2999999998</v>
      </c>
      <c r="FL107" s="1479">
        <v>3000000</v>
      </c>
      <c r="FM107" s="1479">
        <v>1988026.7000000002</v>
      </c>
      <c r="FN107" s="1479">
        <v>3000000</v>
      </c>
      <c r="FO107" s="1493">
        <v>1981229</v>
      </c>
      <c r="FP107" s="1493">
        <v>3000000</v>
      </c>
      <c r="FQ107" s="1493">
        <v>2721006</v>
      </c>
      <c r="FR107" s="1493">
        <v>3000000</v>
      </c>
      <c r="FS107" s="1493">
        <v>4819722</v>
      </c>
      <c r="FT107" s="1493">
        <v>4000000</v>
      </c>
      <c r="FU107" s="1493">
        <v>2891423</v>
      </c>
      <c r="FV107" s="1493">
        <v>4000000</v>
      </c>
      <c r="FW107" s="1493">
        <v>3317883</v>
      </c>
      <c r="FX107" s="1493">
        <v>4000000</v>
      </c>
      <c r="FY107" s="1493">
        <v>4408107</v>
      </c>
      <c r="FZ107" s="1493">
        <v>4000000</v>
      </c>
      <c r="GA107" s="1493">
        <v>3154833</v>
      </c>
      <c r="GB107" s="1493"/>
      <c r="GC107" s="1479"/>
    </row>
    <row r="108" spans="1:187" s="1425" customFormat="1" outlineLevel="1">
      <c r="A108" s="1429"/>
      <c r="B108" s="1429"/>
      <c r="C108" s="1429"/>
      <c r="D108" s="1429"/>
      <c r="E108" s="1429"/>
      <c r="F108" s="1429"/>
      <c r="G108" s="1429"/>
      <c r="H108" s="1429"/>
      <c r="I108" s="1429"/>
      <c r="J108" s="1429"/>
      <c r="K108" s="1429"/>
      <c r="L108" s="1429"/>
      <c r="M108" s="1429"/>
      <c r="N108" s="1429"/>
      <c r="O108" s="1429"/>
      <c r="Q108" s="1279"/>
      <c r="R108" s="1429">
        <v>7</v>
      </c>
      <c r="S108" s="1497" t="s">
        <v>844</v>
      </c>
      <c r="T108" s="1482">
        <f t="shared" si="66"/>
        <v>3901841145</v>
      </c>
      <c r="U108" s="1482">
        <f>SUMIF(Z$99:$AO$99,$U$99,Z108:AO108)</f>
        <v>3469108422</v>
      </c>
      <c r="V108" s="1483">
        <v>433537905</v>
      </c>
      <c r="W108" s="1484">
        <f>'3-2) 손익계산서(월간)'!D21</f>
        <v>433558284</v>
      </c>
      <c r="X108" s="1483">
        <v>433537905</v>
      </c>
      <c r="Y108" s="1484">
        <v>433558284</v>
      </c>
      <c r="Z108" s="1485">
        <v>433537905</v>
      </c>
      <c r="AA108" s="1484">
        <v>433558284</v>
      </c>
      <c r="AB108" s="1486">
        <v>433537905</v>
      </c>
      <c r="AC108" s="1484">
        <v>433558284</v>
      </c>
      <c r="AD108" s="1487">
        <v>433537905</v>
      </c>
      <c r="AE108" s="1474">
        <v>433558284</v>
      </c>
      <c r="AF108" s="1485">
        <v>433537905</v>
      </c>
      <c r="AG108" s="1474">
        <v>433686714</v>
      </c>
      <c r="AH108" s="1485">
        <v>433537905</v>
      </c>
      <c r="AI108" s="1474">
        <v>433686714</v>
      </c>
      <c r="AJ108" s="1485">
        <v>433537905</v>
      </c>
      <c r="AK108" s="1484">
        <v>433686714</v>
      </c>
      <c r="AL108" s="1485">
        <v>433537905</v>
      </c>
      <c r="AM108" s="1484">
        <v>433686714</v>
      </c>
      <c r="AN108" s="1485">
        <v>433537905</v>
      </c>
      <c r="AO108" s="1484">
        <v>433686714</v>
      </c>
      <c r="AP108" s="1485">
        <v>433537905</v>
      </c>
      <c r="AQ108" s="1484">
        <v>433686714</v>
      </c>
      <c r="AR108" s="1488">
        <v>433537905</v>
      </c>
      <c r="AS108" s="1484">
        <v>433686714</v>
      </c>
      <c r="AT108" s="1488">
        <v>433537905</v>
      </c>
      <c r="AU108" s="1489">
        <v>433686714</v>
      </c>
      <c r="AV108" s="1488">
        <v>433537905</v>
      </c>
      <c r="AW108" s="1489">
        <v>433686714</v>
      </c>
      <c r="AX108" s="1488">
        <v>433537905</v>
      </c>
      <c r="AY108" s="1489">
        <v>433537905</v>
      </c>
      <c r="AZ108" s="1488">
        <v>433537905</v>
      </c>
      <c r="BA108" s="1489">
        <v>433537905</v>
      </c>
      <c r="BB108" s="1488">
        <v>433537905</v>
      </c>
      <c r="BC108" s="1489">
        <v>433537905</v>
      </c>
      <c r="BD108" s="1488">
        <v>433537905</v>
      </c>
      <c r="BE108" s="1489">
        <v>433537905</v>
      </c>
      <c r="BF108" s="1488">
        <v>433537905</v>
      </c>
      <c r="BG108" s="1489">
        <v>433537905</v>
      </c>
      <c r="BH108" s="1488">
        <v>433537905</v>
      </c>
      <c r="BI108" s="1484">
        <v>433537905</v>
      </c>
      <c r="BJ108" s="1488">
        <v>433537905</v>
      </c>
      <c r="BK108" s="1484">
        <v>433537905</v>
      </c>
      <c r="BL108" s="1488">
        <v>433537905</v>
      </c>
      <c r="BM108" s="1484">
        <v>433537905</v>
      </c>
      <c r="BN108" s="1488">
        <v>433537905</v>
      </c>
      <c r="BO108" s="1484">
        <v>433537905</v>
      </c>
      <c r="BP108" s="1489">
        <v>433537905</v>
      </c>
      <c r="BQ108" s="1484">
        <v>433537905</v>
      </c>
      <c r="BR108" s="1489">
        <v>433537905</v>
      </c>
      <c r="BS108" s="1484">
        <v>433537905</v>
      </c>
      <c r="BT108" s="1489">
        <v>433537905</v>
      </c>
      <c r="BU108" s="1484">
        <v>433537905</v>
      </c>
      <c r="BV108" s="1489">
        <v>433537905</v>
      </c>
      <c r="BW108" s="1484">
        <v>433537905</v>
      </c>
      <c r="BX108" s="1491">
        <v>433537905</v>
      </c>
      <c r="BY108" s="1482">
        <v>433537905</v>
      </c>
      <c r="BZ108" s="1482">
        <v>433537905</v>
      </c>
      <c r="CA108" s="1482">
        <v>433537905</v>
      </c>
      <c r="CB108" s="1482">
        <v>433537905</v>
      </c>
      <c r="CC108" s="1482">
        <v>433537905</v>
      </c>
      <c r="CD108" s="1482">
        <v>370849236.843005</v>
      </c>
      <c r="CE108" s="1482">
        <v>433537905</v>
      </c>
      <c r="CF108" s="1482">
        <v>370849236.843005</v>
      </c>
      <c r="CG108" s="1482">
        <v>433537905</v>
      </c>
      <c r="CH108" s="1482">
        <v>370849236.843005</v>
      </c>
      <c r="CI108" s="1482">
        <v>433537905</v>
      </c>
      <c r="CJ108" s="1472">
        <v>370849236.843005</v>
      </c>
      <c r="CK108" s="1482">
        <v>433537905</v>
      </c>
      <c r="CL108" s="1472">
        <v>370849236.843005</v>
      </c>
      <c r="CM108" s="1482">
        <v>378099497</v>
      </c>
      <c r="CN108" s="1472">
        <v>314741320</v>
      </c>
      <c r="CO108" s="1482">
        <v>314741320</v>
      </c>
      <c r="CP108" s="1472">
        <v>314741320</v>
      </c>
      <c r="CQ108" s="1482">
        <v>314741320</v>
      </c>
      <c r="CR108" s="1472">
        <v>314741320</v>
      </c>
      <c r="CS108" s="1482">
        <v>314741320</v>
      </c>
      <c r="CT108" s="1472">
        <v>314741320</v>
      </c>
      <c r="CU108" s="1482">
        <v>314741320</v>
      </c>
      <c r="CV108" s="1472">
        <v>314741320</v>
      </c>
      <c r="CW108" s="1482">
        <v>314741320</v>
      </c>
      <c r="CX108" s="1472">
        <v>314741320</v>
      </c>
      <c r="CY108" s="1482">
        <v>314741320</v>
      </c>
      <c r="CZ108" s="1472">
        <v>314741320</v>
      </c>
      <c r="DA108" s="1482">
        <v>314741320</v>
      </c>
      <c r="DB108" s="1472">
        <v>314741320</v>
      </c>
      <c r="DC108" s="1482">
        <v>314741320</v>
      </c>
      <c r="DD108" s="1472">
        <v>314741320</v>
      </c>
      <c r="DE108" s="1482">
        <v>314741320</v>
      </c>
      <c r="DF108" s="1472">
        <v>314741320</v>
      </c>
      <c r="DG108" s="1482">
        <v>314741320</v>
      </c>
      <c r="DH108" s="1472">
        <v>314741320</v>
      </c>
      <c r="DI108" s="1482">
        <v>314741320</v>
      </c>
      <c r="DJ108" s="1472">
        <v>314741320</v>
      </c>
      <c r="DK108" s="1482">
        <v>314741320</v>
      </c>
      <c r="DL108" s="1472">
        <v>314741320</v>
      </c>
      <c r="DM108" s="1482">
        <v>314741320</v>
      </c>
      <c r="DN108" s="1472">
        <v>314741320</v>
      </c>
      <c r="DO108" s="1482">
        <v>314741320</v>
      </c>
      <c r="DP108" s="1472">
        <v>314741320</v>
      </c>
      <c r="DQ108" s="1482">
        <v>314741320</v>
      </c>
      <c r="DR108" s="1472">
        <v>314741320</v>
      </c>
      <c r="DS108" s="1482">
        <v>314741320</v>
      </c>
      <c r="DT108" s="1472">
        <v>314741320</v>
      </c>
      <c r="DU108" s="1472">
        <v>314741320</v>
      </c>
      <c r="DV108" s="1472">
        <v>314741320</v>
      </c>
      <c r="DW108" s="1472">
        <v>314741320</v>
      </c>
      <c r="DX108" s="1472">
        <v>314741320</v>
      </c>
      <c r="DY108" s="1492">
        <v>314741320</v>
      </c>
      <c r="DZ108" s="1472">
        <v>314741320</v>
      </c>
      <c r="EA108" s="1492">
        <v>314741320</v>
      </c>
      <c r="EB108" s="1472">
        <v>314741320</v>
      </c>
      <c r="EC108" s="1492">
        <v>314741320</v>
      </c>
      <c r="ED108" s="1472">
        <v>314741320</v>
      </c>
      <c r="EE108" s="1492">
        <v>314741320</v>
      </c>
      <c r="EF108" s="1492">
        <v>314741320</v>
      </c>
      <c r="EG108" s="1492">
        <v>314741320</v>
      </c>
      <c r="EH108" s="1479">
        <v>314759290.70273</v>
      </c>
      <c r="EI108" s="1479">
        <v>314741320</v>
      </c>
      <c r="EJ108" s="1479">
        <v>314759290.70273</v>
      </c>
      <c r="EK108" s="1479">
        <v>314741320</v>
      </c>
      <c r="EL108" s="1479">
        <v>314759290.70273</v>
      </c>
      <c r="EM108" s="1479">
        <v>314741320</v>
      </c>
      <c r="EN108" s="1479">
        <v>314759290.70273</v>
      </c>
      <c r="EO108" s="1479">
        <v>314741320</v>
      </c>
      <c r="EP108" s="1479">
        <v>314759290.70273</v>
      </c>
      <c r="EQ108" s="1479">
        <v>314741320</v>
      </c>
      <c r="ER108" s="1479">
        <v>314759290.70273</v>
      </c>
      <c r="ES108" s="1479">
        <v>314741320</v>
      </c>
      <c r="ET108" s="1479">
        <v>314759290.70273</v>
      </c>
      <c r="EU108" s="1479">
        <v>314741320</v>
      </c>
      <c r="EV108" s="1479">
        <v>314759290.70273</v>
      </c>
      <c r="EW108" s="1479">
        <v>314741320</v>
      </c>
      <c r="EX108" s="1479">
        <v>314759290.70273</v>
      </c>
      <c r="EY108" s="1479">
        <v>314741320</v>
      </c>
      <c r="EZ108" s="1479">
        <v>314759290.70273</v>
      </c>
      <c r="FA108" s="1479">
        <v>314741320</v>
      </c>
      <c r="FB108" s="1479">
        <v>314759290.70273</v>
      </c>
      <c r="FC108" s="1479">
        <v>314741320</v>
      </c>
      <c r="FD108" s="1479">
        <v>315000000</v>
      </c>
      <c r="FE108" s="1479">
        <v>314741320</v>
      </c>
      <c r="FF108" s="1479">
        <v>315000000</v>
      </c>
      <c r="FG108" s="1479">
        <v>314741320</v>
      </c>
      <c r="FH108" s="1479">
        <v>315000000</v>
      </c>
      <c r="FI108" s="1479">
        <v>314741320</v>
      </c>
      <c r="FJ108" s="1479">
        <v>315000000</v>
      </c>
      <c r="FK108" s="1479">
        <v>314741320</v>
      </c>
      <c r="FL108" s="1479">
        <v>315000000</v>
      </c>
      <c r="FM108" s="1479">
        <v>314741320</v>
      </c>
      <c r="FN108" s="1479">
        <v>315000000</v>
      </c>
      <c r="FO108" s="1493">
        <v>314741320</v>
      </c>
      <c r="FP108" s="1493">
        <v>315000000</v>
      </c>
      <c r="FQ108" s="1493">
        <v>314741320</v>
      </c>
      <c r="FR108" s="1493">
        <v>315000000</v>
      </c>
      <c r="FS108" s="1493">
        <v>314727076</v>
      </c>
      <c r="FT108" s="1493">
        <v>315000000</v>
      </c>
      <c r="FU108" s="1493">
        <v>314744881</v>
      </c>
      <c r="FV108" s="1493">
        <v>315000000</v>
      </c>
      <c r="FW108" s="1493">
        <v>314744881</v>
      </c>
      <c r="FX108" s="1493">
        <v>315000000</v>
      </c>
      <c r="FY108" s="1493">
        <v>314744881</v>
      </c>
      <c r="FZ108" s="1493">
        <v>315000000</v>
      </c>
      <c r="GA108" s="1493">
        <v>314744881</v>
      </c>
      <c r="GB108" s="1493"/>
      <c r="GC108" s="1479"/>
    </row>
    <row r="109" spans="1:187" s="1425" customFormat="1" outlineLevel="1">
      <c r="A109" s="1429"/>
      <c r="B109" s="1429"/>
      <c r="C109" s="1429"/>
      <c r="D109" s="1429"/>
      <c r="E109" s="1429"/>
      <c r="F109" s="1429"/>
      <c r="G109" s="1429"/>
      <c r="H109" s="1429"/>
      <c r="I109" s="1429"/>
      <c r="J109" s="1429"/>
      <c r="K109" s="1429"/>
      <c r="L109" s="1429"/>
      <c r="M109" s="1429"/>
      <c r="N109" s="1429"/>
      <c r="O109" s="1429"/>
      <c r="Q109" s="1279"/>
      <c r="R109" s="1429">
        <v>8</v>
      </c>
      <c r="S109" s="1500" t="s">
        <v>231</v>
      </c>
      <c r="T109" s="1482">
        <f t="shared" si="66"/>
        <v>19867586</v>
      </c>
      <c r="U109" s="1482">
        <f>SUMIF(Z$99:$AO$99,$U$99,Z109:AO109)</f>
        <v>19134898</v>
      </c>
      <c r="V109" s="1483">
        <v>2247096</v>
      </c>
      <c r="W109" s="1484">
        <f>'3-2) 손익계산서(월간)'!D22</f>
        <v>2464903</v>
      </c>
      <c r="X109" s="1483">
        <v>2174609</v>
      </c>
      <c r="Y109" s="1484">
        <v>2385390</v>
      </c>
      <c r="Z109" s="1485">
        <v>2247096</v>
      </c>
      <c r="AA109" s="1484">
        <v>2464903</v>
      </c>
      <c r="AB109" s="1486">
        <v>2174609</v>
      </c>
      <c r="AC109" s="1484">
        <v>2385390</v>
      </c>
      <c r="AD109" s="1487">
        <v>2247096</v>
      </c>
      <c r="AE109" s="1474">
        <v>2544416</v>
      </c>
      <c r="AF109" s="1485">
        <v>2102122</v>
      </c>
      <c r="AG109" s="1474">
        <v>2226364</v>
      </c>
      <c r="AH109" s="1485">
        <v>2247096</v>
      </c>
      <c r="AI109" s="1474">
        <v>2464903</v>
      </c>
      <c r="AJ109" s="1485">
        <v>2247096</v>
      </c>
      <c r="AK109" s="1484">
        <v>2464903</v>
      </c>
      <c r="AL109" s="1485">
        <v>2174609</v>
      </c>
      <c r="AM109" s="1484">
        <v>2330766</v>
      </c>
      <c r="AN109" s="1485">
        <v>2253253</v>
      </c>
      <c r="AO109" s="1484">
        <v>2253253</v>
      </c>
      <c r="AP109" s="1485">
        <v>2180567</v>
      </c>
      <c r="AQ109" s="1484">
        <v>2180567</v>
      </c>
      <c r="AR109" s="1488">
        <v>2253253</v>
      </c>
      <c r="AS109" s="1484">
        <v>2253253</v>
      </c>
      <c r="AT109" s="1488">
        <v>2253253</v>
      </c>
      <c r="AU109" s="1489">
        <v>2253253</v>
      </c>
      <c r="AV109" s="1488">
        <v>2180567</v>
      </c>
      <c r="AW109" s="1489">
        <v>2180567</v>
      </c>
      <c r="AX109" s="1488">
        <v>2253253</v>
      </c>
      <c r="AY109" s="1489">
        <v>2253253</v>
      </c>
      <c r="AZ109" s="1488">
        <v>2180567</v>
      </c>
      <c r="BA109" s="1489">
        <v>2180567</v>
      </c>
      <c r="BB109" s="1488">
        <v>2253253</v>
      </c>
      <c r="BC109" s="1489">
        <v>2253253</v>
      </c>
      <c r="BD109" s="1488">
        <v>2035196</v>
      </c>
      <c r="BE109" s="1489">
        <v>2035196</v>
      </c>
      <c r="BF109" s="1488">
        <v>2253253</v>
      </c>
      <c r="BG109" s="1489">
        <v>2253253</v>
      </c>
      <c r="BH109" s="1488">
        <v>2253253</v>
      </c>
      <c r="BI109" s="1484">
        <v>2253253</v>
      </c>
      <c r="BJ109" s="1488">
        <v>2180567</v>
      </c>
      <c r="BK109" s="1484">
        <v>2182152</v>
      </c>
      <c r="BL109" s="1488">
        <v>2253253</v>
      </c>
      <c r="BM109" s="1484">
        <v>2259400</v>
      </c>
      <c r="BN109" s="1488">
        <v>2120920</v>
      </c>
      <c r="BO109" s="1484">
        <v>2186516</v>
      </c>
      <c r="BP109" s="1489">
        <v>2191618</v>
      </c>
      <c r="BQ109" s="1484">
        <v>2259400</v>
      </c>
      <c r="BR109" s="1489">
        <v>2191618</v>
      </c>
      <c r="BS109" s="1484">
        <v>2259400</v>
      </c>
      <c r="BT109" s="1489">
        <v>2120920</v>
      </c>
      <c r="BU109" s="1484">
        <v>2186516</v>
      </c>
      <c r="BV109" s="1489">
        <v>2191618</v>
      </c>
      <c r="BW109" s="1484">
        <v>2259400</v>
      </c>
      <c r="BX109" s="1491">
        <v>2120920</v>
      </c>
      <c r="BY109" s="1482">
        <v>2186516</v>
      </c>
      <c r="BZ109" s="1482">
        <v>2191618</v>
      </c>
      <c r="CA109" s="1482">
        <v>2259400</v>
      </c>
      <c r="CB109" s="1482">
        <v>0</v>
      </c>
      <c r="CC109" s="1482">
        <v>2040748</v>
      </c>
      <c r="CD109" s="1482">
        <v>3234335.1303999997</v>
      </c>
      <c r="CE109" s="1482">
        <v>2040748</v>
      </c>
      <c r="CF109" s="1482">
        <v>3234335.1303999997</v>
      </c>
      <c r="CG109" s="1482">
        <v>2259400</v>
      </c>
      <c r="CH109" s="1482">
        <v>3234335.1303999997</v>
      </c>
      <c r="CI109" s="1482">
        <v>2371312</v>
      </c>
      <c r="CJ109" s="1472">
        <v>3234335.1303999997</v>
      </c>
      <c r="CK109" s="1482">
        <v>2975492</v>
      </c>
      <c r="CL109" s="1472">
        <v>3234335.1303999997</v>
      </c>
      <c r="CM109" s="1482">
        <v>2705243</v>
      </c>
      <c r="CN109" s="1472">
        <v>2600482.7749999999</v>
      </c>
      <c r="CO109" s="1482">
        <v>2589619</v>
      </c>
      <c r="CP109" s="1472">
        <v>2600482.7749999999</v>
      </c>
      <c r="CQ109" s="1482">
        <v>2589619</v>
      </c>
      <c r="CR109" s="1472">
        <v>2600482.7749999999</v>
      </c>
      <c r="CS109" s="1482">
        <v>2506083</v>
      </c>
      <c r="CT109" s="1472">
        <v>2600482.7749999999</v>
      </c>
      <c r="CU109" s="1482">
        <v>2589619</v>
      </c>
      <c r="CV109" s="1472">
        <v>2600482.7749999999</v>
      </c>
      <c r="CW109" s="1482">
        <v>2506083</v>
      </c>
      <c r="CX109" s="1472">
        <v>2600482.7749999999</v>
      </c>
      <c r="CY109" s="1482">
        <v>2589619</v>
      </c>
      <c r="CZ109" s="1472">
        <v>2600482.7749999999</v>
      </c>
      <c r="DA109" s="1482">
        <v>2339011</v>
      </c>
      <c r="DB109" s="1472">
        <v>2600482.7749999999</v>
      </c>
      <c r="DC109" s="1482">
        <v>2589619</v>
      </c>
      <c r="DD109" s="1472">
        <v>2600482.7749999999</v>
      </c>
      <c r="DE109" s="1482">
        <v>2589619</v>
      </c>
      <c r="DF109" s="1472">
        <v>2600482.7749999999</v>
      </c>
      <c r="DG109" s="1482">
        <v>2506518</v>
      </c>
      <c r="DH109" s="1472">
        <v>2600482.7749999999</v>
      </c>
      <c r="DI109" s="1482">
        <v>2591288</v>
      </c>
      <c r="DJ109" s="1472">
        <v>3240203.8249999997</v>
      </c>
      <c r="DK109" s="1482">
        <v>2507698</v>
      </c>
      <c r="DL109" s="1472">
        <v>3240203.8249999997</v>
      </c>
      <c r="DM109" s="1482">
        <v>2591288</v>
      </c>
      <c r="DN109" s="1472">
        <v>3240203.8249999997</v>
      </c>
      <c r="DO109" s="1482">
        <v>2591288</v>
      </c>
      <c r="DP109" s="1472">
        <v>3240203.8249999997</v>
      </c>
      <c r="DQ109" s="1482">
        <v>2507698</v>
      </c>
      <c r="DR109" s="1472">
        <v>3240203.8249999997</v>
      </c>
      <c r="DS109" s="1482">
        <v>2591288</v>
      </c>
      <c r="DT109" s="1472">
        <v>3240203.8249999997</v>
      </c>
      <c r="DU109" s="1472">
        <v>2507698</v>
      </c>
      <c r="DV109" s="1472">
        <v>3240203.8249999997</v>
      </c>
      <c r="DW109" s="1472">
        <v>2591288</v>
      </c>
      <c r="DX109" s="1472">
        <v>3240203.8249999997</v>
      </c>
      <c r="DY109" s="1492">
        <v>2424108</v>
      </c>
      <c r="DZ109" s="1472">
        <v>3240203.8249999997</v>
      </c>
      <c r="EA109" s="1492">
        <v>2591288</v>
      </c>
      <c r="EB109" s="1472">
        <v>3240203.8249999997</v>
      </c>
      <c r="EC109" s="1492">
        <v>2591288</v>
      </c>
      <c r="ED109" s="1472">
        <v>3240203.8249999997</v>
      </c>
      <c r="EE109" s="1492">
        <v>2674486</v>
      </c>
      <c r="EF109" s="1492">
        <v>3240203.8249999997</v>
      </c>
      <c r="EG109" s="1492">
        <v>3237593</v>
      </c>
      <c r="EH109" s="1479">
        <v>3333333.3333333302</v>
      </c>
      <c r="EI109" s="1479">
        <v>3642054.6640694272</v>
      </c>
      <c r="EJ109" s="1479">
        <v>3333333.3333333302</v>
      </c>
      <c r="EK109" s="1479">
        <v>3636864.5764301117</v>
      </c>
      <c r="EL109" s="1479">
        <v>3333333.3333333302</v>
      </c>
      <c r="EM109" s="1479">
        <v>3616648</v>
      </c>
      <c r="EN109" s="1479">
        <v>3333333.3333333302</v>
      </c>
      <c r="EO109" s="1479">
        <v>3516758</v>
      </c>
      <c r="EP109" s="1479">
        <v>3333333.3333333302</v>
      </c>
      <c r="EQ109" s="1479">
        <v>3616648.1981158787</v>
      </c>
      <c r="ER109" s="1479">
        <v>3333333.3333333302</v>
      </c>
      <c r="ES109" s="1479">
        <v>3516758.1981158787</v>
      </c>
      <c r="ET109" s="1479">
        <v>3333333.3333333302</v>
      </c>
      <c r="EU109" s="1479">
        <v>3616648</v>
      </c>
      <c r="EV109" s="1479">
        <v>3333333.3333333302</v>
      </c>
      <c r="EW109" s="1479">
        <v>3303332</v>
      </c>
      <c r="EX109" s="1479">
        <v>3333333.3333333302</v>
      </c>
      <c r="EY109" s="1479">
        <v>3616648</v>
      </c>
      <c r="EZ109" s="1479">
        <v>3333333.3333333302</v>
      </c>
      <c r="FA109" s="1479">
        <v>3616648</v>
      </c>
      <c r="FB109" s="1479">
        <v>3333333.3333333302</v>
      </c>
      <c r="FC109" s="1479">
        <v>3751995</v>
      </c>
      <c r="FD109" s="1479">
        <v>4000000</v>
      </c>
      <c r="FE109" s="1479">
        <v>4545826</v>
      </c>
      <c r="FF109" s="1479">
        <v>4000000</v>
      </c>
      <c r="FG109" s="1479">
        <v>4411414</v>
      </c>
      <c r="FH109" s="1479">
        <v>4000000</v>
      </c>
      <c r="FI109" s="1479">
        <v>4545826</v>
      </c>
      <c r="FJ109" s="1479">
        <v>4000000</v>
      </c>
      <c r="FK109" s="1479">
        <v>4779577</v>
      </c>
      <c r="FL109" s="1479">
        <v>4000000</v>
      </c>
      <c r="FM109" s="1479">
        <v>4651230</v>
      </c>
      <c r="FN109" s="1479">
        <v>4000000</v>
      </c>
      <c r="FO109" s="1493">
        <v>4779577</v>
      </c>
      <c r="FP109" s="1493">
        <v>4000000</v>
      </c>
      <c r="FQ109" s="1493">
        <v>4645165</v>
      </c>
      <c r="FR109" s="1493">
        <v>4000000</v>
      </c>
      <c r="FS109" s="1493">
        <v>4779577</v>
      </c>
      <c r="FT109" s="1494">
        <v>4000000</v>
      </c>
      <c r="FU109" s="1493">
        <v>4376341</v>
      </c>
      <c r="FV109" s="1494">
        <v>4000000</v>
      </c>
      <c r="FW109" s="1493">
        <v>4779577</v>
      </c>
      <c r="FX109" s="1494">
        <v>4000000</v>
      </c>
      <c r="FY109" s="1493">
        <v>4779577</v>
      </c>
      <c r="FZ109" s="1494">
        <v>4000000</v>
      </c>
      <c r="GA109" s="1493">
        <v>3569869</v>
      </c>
      <c r="GB109" s="1493"/>
      <c r="GC109" s="1479"/>
      <c r="GD109" s="1425" t="s">
        <v>256</v>
      </c>
    </row>
    <row r="110" spans="1:187" s="1425" customFormat="1" outlineLevel="1">
      <c r="A110" s="1429"/>
      <c r="B110" s="1429"/>
      <c r="C110" s="1429"/>
      <c r="D110" s="1429"/>
      <c r="E110" s="1429"/>
      <c r="F110" s="1429"/>
      <c r="G110" s="1429"/>
      <c r="H110" s="1429"/>
      <c r="I110" s="1429"/>
      <c r="J110" s="1429"/>
      <c r="K110" s="1429"/>
      <c r="L110" s="1429"/>
      <c r="M110" s="1429"/>
      <c r="N110" s="1429"/>
      <c r="O110" s="1429"/>
      <c r="Q110" s="1279"/>
      <c r="R110" s="1429"/>
      <c r="S110" s="1481"/>
      <c r="T110" s="1482">
        <f t="shared" si="66"/>
        <v>0</v>
      </c>
      <c r="U110" s="1482">
        <f>SUMIF(Z$99:$AO$99,$U$99,Z110:AO110)</f>
        <v>0</v>
      </c>
      <c r="V110" s="1483"/>
      <c r="W110" s="1484"/>
      <c r="X110" s="1483"/>
      <c r="Y110" s="1484"/>
      <c r="Z110" s="1495"/>
      <c r="AA110" s="1474"/>
      <c r="AB110" s="1476"/>
      <c r="AC110" s="1474"/>
      <c r="AD110" s="1476"/>
      <c r="AE110" s="1474">
        <v>0</v>
      </c>
      <c r="AF110" s="1495"/>
      <c r="AG110" s="1474">
        <v>0</v>
      </c>
      <c r="AH110" s="1495"/>
      <c r="AI110" s="1474">
        <v>0</v>
      </c>
      <c r="AJ110" s="1495"/>
      <c r="AK110" s="1474"/>
      <c r="AL110" s="1495"/>
      <c r="AM110" s="1474"/>
      <c r="AN110" s="1495"/>
      <c r="AO110" s="1474"/>
      <c r="AP110" s="1495"/>
      <c r="AQ110" s="1474"/>
      <c r="AR110" s="1479"/>
      <c r="AS110" s="1474"/>
      <c r="AT110" s="1479"/>
      <c r="AU110" s="1479"/>
      <c r="AV110" s="1479"/>
      <c r="AW110" s="1479"/>
      <c r="AX110" s="1479"/>
      <c r="AY110" s="1479"/>
      <c r="AZ110" s="1479"/>
      <c r="BA110" s="1479"/>
      <c r="BB110" s="1479"/>
      <c r="BC110" s="1479"/>
      <c r="BD110" s="1479"/>
      <c r="BE110" s="1479"/>
      <c r="BF110" s="1479"/>
      <c r="BG110" s="1479"/>
      <c r="BH110" s="1479"/>
      <c r="BI110" s="1474"/>
      <c r="BJ110" s="1479"/>
      <c r="BK110" s="1474"/>
      <c r="BL110" s="1479"/>
      <c r="BM110" s="1479"/>
      <c r="BN110" s="1479"/>
      <c r="BO110" s="1474"/>
      <c r="BP110" s="1479"/>
      <c r="BQ110" s="1474"/>
      <c r="BR110" s="1479"/>
      <c r="BS110" s="1474"/>
      <c r="BT110" s="1479"/>
      <c r="BU110" s="1474"/>
      <c r="BV110" s="1479"/>
      <c r="BW110" s="1474"/>
      <c r="BX110" s="1496"/>
      <c r="BY110" s="1472"/>
      <c r="BZ110" s="1472"/>
      <c r="CA110" s="1472"/>
      <c r="CB110" s="1472"/>
      <c r="CC110" s="1472"/>
      <c r="CD110" s="1472"/>
      <c r="CE110" s="1472"/>
      <c r="CF110" s="1472"/>
      <c r="CG110" s="1472"/>
      <c r="CH110" s="1472"/>
      <c r="CI110" s="1472"/>
      <c r="CJ110" s="1472"/>
      <c r="CK110" s="1472"/>
      <c r="CL110" s="1472"/>
      <c r="CM110" s="1472"/>
      <c r="CN110" s="1472"/>
      <c r="CO110" s="1472"/>
      <c r="CP110" s="1472"/>
      <c r="CQ110" s="1472"/>
      <c r="CR110" s="1472"/>
      <c r="CS110" s="1472"/>
      <c r="CT110" s="1472"/>
      <c r="CU110" s="1472"/>
      <c r="CV110" s="1472"/>
      <c r="CW110" s="1472"/>
      <c r="CX110" s="1472"/>
      <c r="CY110" s="1482"/>
      <c r="CZ110" s="1472"/>
      <c r="DA110" s="1482"/>
      <c r="DB110" s="1472"/>
      <c r="DC110" s="1482"/>
      <c r="DD110" s="1472"/>
      <c r="DE110" s="1482"/>
      <c r="DF110" s="1472"/>
      <c r="DG110" s="1482"/>
      <c r="DH110" s="1472"/>
      <c r="DI110" s="1482"/>
      <c r="DJ110" s="1472"/>
      <c r="DK110" s="1482"/>
      <c r="DL110" s="1472"/>
      <c r="DM110" s="1482"/>
      <c r="DN110" s="1472"/>
      <c r="DO110" s="1482"/>
      <c r="DP110" s="1472"/>
      <c r="DQ110" s="1482"/>
      <c r="DR110" s="1472"/>
      <c r="DS110" s="1482"/>
      <c r="DT110" s="1472"/>
      <c r="DU110" s="1472"/>
      <c r="DV110" s="1472"/>
      <c r="DW110" s="1472"/>
      <c r="DX110" s="1472"/>
      <c r="DY110" s="1472"/>
      <c r="DZ110" s="1472"/>
      <c r="EA110" s="1472"/>
      <c r="EB110" s="1472"/>
      <c r="EC110" s="1472"/>
      <c r="ED110" s="1472"/>
      <c r="EE110" s="1472"/>
      <c r="EF110" s="1492"/>
      <c r="EG110" s="1492"/>
      <c r="EH110" s="1479"/>
      <c r="EI110" s="1479"/>
      <c r="EJ110" s="1479"/>
      <c r="EK110" s="1479"/>
      <c r="EL110" s="1479"/>
      <c r="EM110" s="1479"/>
      <c r="EN110" s="1479"/>
      <c r="EO110" s="1479"/>
      <c r="EP110" s="1479"/>
      <c r="EQ110" s="1479"/>
      <c r="ER110" s="1479"/>
      <c r="ES110" s="1479"/>
      <c r="ET110" s="1479"/>
      <c r="EU110" s="1479"/>
      <c r="EV110" s="1479"/>
      <c r="EW110" s="1479"/>
      <c r="EX110" s="1479"/>
      <c r="EY110" s="1479"/>
      <c r="EZ110" s="1479"/>
      <c r="FA110" s="1479"/>
      <c r="FB110" s="1479"/>
      <c r="FC110" s="1479"/>
      <c r="FD110" s="1479"/>
      <c r="FE110" s="1479"/>
      <c r="FF110" s="1479"/>
      <c r="FG110" s="1479"/>
      <c r="FH110" s="1479"/>
      <c r="FI110" s="1479"/>
      <c r="FJ110" s="1479"/>
      <c r="FK110" s="1479"/>
      <c r="FL110" s="1479"/>
      <c r="FM110" s="1479"/>
      <c r="FN110" s="1479"/>
      <c r="FO110" s="1493"/>
      <c r="FP110" s="1493"/>
      <c r="FQ110" s="1493"/>
      <c r="FR110" s="1493"/>
      <c r="FS110" s="1493"/>
      <c r="FT110" s="1493"/>
      <c r="FU110" s="1493"/>
      <c r="FV110" s="1493"/>
      <c r="FW110" s="1493"/>
      <c r="FX110" s="1494"/>
      <c r="FY110" s="1493"/>
      <c r="FZ110" s="1494"/>
      <c r="GA110" s="1493"/>
      <c r="GB110" s="1493"/>
      <c r="GC110" s="1479"/>
    </row>
    <row r="111" spans="1:187" s="1425" customFormat="1" outlineLevel="1">
      <c r="A111" s="1429"/>
      <c r="B111" s="1429"/>
      <c r="C111" s="1429"/>
      <c r="D111" s="1429"/>
      <c r="E111" s="1429"/>
      <c r="F111" s="1429"/>
      <c r="G111" s="1429"/>
      <c r="H111" s="1429"/>
      <c r="I111" s="1429"/>
      <c r="J111" s="1429"/>
      <c r="K111" s="1429"/>
      <c r="L111" s="1429"/>
      <c r="M111" s="1429"/>
      <c r="N111" s="1429"/>
      <c r="O111" s="1429"/>
      <c r="Q111" s="1279"/>
      <c r="R111" s="1429">
        <v>9</v>
      </c>
      <c r="S111" s="1481" t="s">
        <v>232</v>
      </c>
      <c r="T111" s="1482">
        <f t="shared" si="66"/>
        <v>255981870</v>
      </c>
      <c r="U111" s="1482">
        <f>SUMIF(Z$99:$AO$99,$U$99,Z111:AO111)</f>
        <v>227539440</v>
      </c>
      <c r="V111" s="1483">
        <v>28442430</v>
      </c>
      <c r="W111" s="1484">
        <f>'3-2) 손익계산서(월간)'!D14</f>
        <v>0</v>
      </c>
      <c r="X111" s="1483">
        <v>28442430</v>
      </c>
      <c r="Y111" s="1484">
        <v>28442430</v>
      </c>
      <c r="Z111" s="1495">
        <v>28442430</v>
      </c>
      <c r="AA111" s="1474">
        <v>28442430</v>
      </c>
      <c r="AB111" s="1476">
        <v>28442430</v>
      </c>
      <c r="AC111" s="1474">
        <v>28442430</v>
      </c>
      <c r="AD111" s="1476">
        <v>28442430</v>
      </c>
      <c r="AE111" s="1474">
        <v>28442430</v>
      </c>
      <c r="AF111" s="1495">
        <v>28442430</v>
      </c>
      <c r="AG111" s="1474">
        <v>28442430</v>
      </c>
      <c r="AH111" s="1495">
        <v>28442430</v>
      </c>
      <c r="AI111" s="1474">
        <v>28442430</v>
      </c>
      <c r="AJ111" s="1495">
        <v>28442430</v>
      </c>
      <c r="AK111" s="1474">
        <v>28442430</v>
      </c>
      <c r="AL111" s="1495">
        <v>28442430</v>
      </c>
      <c r="AM111" s="1474">
        <v>28442430</v>
      </c>
      <c r="AN111" s="1495">
        <v>28442430</v>
      </c>
      <c r="AO111" s="1474">
        <v>28442430</v>
      </c>
      <c r="AP111" s="1495">
        <v>28349000</v>
      </c>
      <c r="AQ111" s="1474">
        <v>28357910</v>
      </c>
      <c r="AR111" s="1479">
        <v>28161000</v>
      </c>
      <c r="AS111" s="1474">
        <v>28160820</v>
      </c>
      <c r="AT111" s="1479">
        <v>28161000</v>
      </c>
      <c r="AU111" s="1479">
        <v>28160820</v>
      </c>
      <c r="AV111" s="1479">
        <v>28161000</v>
      </c>
      <c r="AW111" s="1479">
        <v>28160820</v>
      </c>
      <c r="AX111" s="1479">
        <v>28161000</v>
      </c>
      <c r="AY111" s="1479">
        <v>28160820</v>
      </c>
      <c r="AZ111" s="1479">
        <v>28161000</v>
      </c>
      <c r="BA111" s="1479">
        <v>28160820</v>
      </c>
      <c r="BB111" s="1479">
        <v>28161000</v>
      </c>
      <c r="BC111" s="1479">
        <v>28160820</v>
      </c>
      <c r="BD111" s="1479">
        <v>28161000</v>
      </c>
      <c r="BE111" s="1479">
        <v>28160820</v>
      </c>
      <c r="BF111" s="1479">
        <v>28161000</v>
      </c>
      <c r="BG111" s="1479">
        <v>28160820</v>
      </c>
      <c r="BH111" s="1479">
        <v>28161000</v>
      </c>
      <c r="BI111" s="1474">
        <v>28160820</v>
      </c>
      <c r="BJ111" s="1479">
        <v>28161000</v>
      </c>
      <c r="BK111" s="1474">
        <v>28160820</v>
      </c>
      <c r="BL111" s="1479">
        <v>28161000</v>
      </c>
      <c r="BM111" s="1479">
        <v>28160820</v>
      </c>
      <c r="BN111" s="1479">
        <v>28012200</v>
      </c>
      <c r="BO111" s="1474">
        <v>28077174</v>
      </c>
      <c r="BP111" s="1479">
        <v>27882000</v>
      </c>
      <c r="BQ111" s="1474">
        <v>27882000</v>
      </c>
      <c r="BR111" s="1479">
        <v>27882000</v>
      </c>
      <c r="BS111" s="1474">
        <v>27882000</v>
      </c>
      <c r="BT111" s="1479">
        <v>27882000</v>
      </c>
      <c r="BU111" s="1474">
        <v>27882000</v>
      </c>
      <c r="BV111" s="1479">
        <v>27882000</v>
      </c>
      <c r="BW111" s="1474">
        <v>27882000</v>
      </c>
      <c r="BX111" s="1493">
        <v>27882000</v>
      </c>
      <c r="BY111" s="1472">
        <v>27882000</v>
      </c>
      <c r="BZ111" s="1479">
        <v>749463176.67867732</v>
      </c>
      <c r="CA111" s="1472">
        <v>27882000</v>
      </c>
      <c r="CB111" s="1472">
        <v>27882000</v>
      </c>
      <c r="CC111" s="1472">
        <v>27882000</v>
      </c>
      <c r="CD111" s="1472">
        <v>27882199.400000002</v>
      </c>
      <c r="CE111" s="1472">
        <v>27882000</v>
      </c>
      <c r="CF111" s="1472">
        <v>27882199.400000002</v>
      </c>
      <c r="CG111" s="1482">
        <v>27882000</v>
      </c>
      <c r="CH111" s="1472">
        <v>27882199.400000002</v>
      </c>
      <c r="CI111" s="1482">
        <v>27882000</v>
      </c>
      <c r="CJ111" s="1472">
        <v>27882199.400000002</v>
      </c>
      <c r="CK111" s="1482">
        <v>27882000</v>
      </c>
      <c r="CL111" s="1472">
        <v>27882199.400000002</v>
      </c>
      <c r="CM111" s="1482">
        <v>26487500</v>
      </c>
      <c r="CN111" s="1472">
        <v>25093000</v>
      </c>
      <c r="CO111" s="1482">
        <v>25093000</v>
      </c>
      <c r="CP111" s="1472">
        <v>25093000</v>
      </c>
      <c r="CQ111" s="1482">
        <v>25093000</v>
      </c>
      <c r="CR111" s="1472">
        <v>25093000</v>
      </c>
      <c r="CS111" s="1482">
        <v>25093000</v>
      </c>
      <c r="CT111" s="1472">
        <v>25093000</v>
      </c>
      <c r="CU111" s="1482">
        <v>25093000</v>
      </c>
      <c r="CV111" s="1472">
        <v>25093000</v>
      </c>
      <c r="CW111" s="1482">
        <v>25093000</v>
      </c>
      <c r="CX111" s="1472">
        <v>25093000</v>
      </c>
      <c r="CY111" s="1482">
        <v>25093000</v>
      </c>
      <c r="CZ111" s="1472">
        <v>25093000</v>
      </c>
      <c r="DA111" s="1482">
        <v>25093000</v>
      </c>
      <c r="DB111" s="1472">
        <v>25093000</v>
      </c>
      <c r="DC111" s="1482">
        <v>25093000</v>
      </c>
      <c r="DD111" s="1472">
        <v>25093000</v>
      </c>
      <c r="DE111" s="1482">
        <v>25093000</v>
      </c>
      <c r="DF111" s="1472">
        <v>25093000</v>
      </c>
      <c r="DG111" s="1482">
        <v>25093000</v>
      </c>
      <c r="DH111" s="1472">
        <v>25093000</v>
      </c>
      <c r="DI111" s="1482">
        <v>25093000</v>
      </c>
      <c r="DJ111" s="1472">
        <v>25093000</v>
      </c>
      <c r="DK111" s="1482">
        <v>25093000</v>
      </c>
      <c r="DL111" s="1472">
        <v>25093000</v>
      </c>
      <c r="DM111" s="1482">
        <v>25093000</v>
      </c>
      <c r="DN111" s="1472">
        <v>25093000</v>
      </c>
      <c r="DO111" s="1482">
        <v>25093000</v>
      </c>
      <c r="DP111" s="1472">
        <v>25093000</v>
      </c>
      <c r="DQ111" s="1482">
        <v>25093000</v>
      </c>
      <c r="DR111" s="1472">
        <v>25093000</v>
      </c>
      <c r="DS111" s="1482">
        <v>25093000</v>
      </c>
      <c r="DT111" s="1472">
        <v>25093000</v>
      </c>
      <c r="DU111" s="1472">
        <v>25093000</v>
      </c>
      <c r="DV111" s="1472">
        <v>25093000</v>
      </c>
      <c r="DW111" s="1472">
        <v>25093000</v>
      </c>
      <c r="DX111" s="1472">
        <v>25093000</v>
      </c>
      <c r="DY111" s="1492">
        <v>25093000</v>
      </c>
      <c r="DZ111" s="1472">
        <v>25093000</v>
      </c>
      <c r="EA111" s="1492">
        <v>25093000</v>
      </c>
      <c r="EB111" s="1472">
        <v>25093000</v>
      </c>
      <c r="EC111" s="1492">
        <v>25093000</v>
      </c>
      <c r="ED111" s="1472">
        <v>25093000</v>
      </c>
      <c r="EE111" s="1492">
        <v>25093000</v>
      </c>
      <c r="EF111" s="1492">
        <v>25093000</v>
      </c>
      <c r="EG111" s="1492">
        <v>25093000</v>
      </c>
      <c r="EH111" s="1479">
        <v>25094007</v>
      </c>
      <c r="EI111" s="1479">
        <v>25093000</v>
      </c>
      <c r="EJ111" s="1479">
        <v>25094007</v>
      </c>
      <c r="EK111" s="1479">
        <v>25093000</v>
      </c>
      <c r="EL111" s="1479">
        <v>25094007</v>
      </c>
      <c r="EM111" s="1479">
        <v>25093000</v>
      </c>
      <c r="EN111" s="1479">
        <v>25094007</v>
      </c>
      <c r="EO111" s="1479">
        <v>25093000</v>
      </c>
      <c r="EP111" s="1479">
        <v>25094007</v>
      </c>
      <c r="EQ111" s="1479">
        <v>25093000</v>
      </c>
      <c r="ER111" s="1479">
        <v>25094007</v>
      </c>
      <c r="ES111" s="1479">
        <v>25093000</v>
      </c>
      <c r="ET111" s="1479">
        <v>25094007</v>
      </c>
      <c r="EU111" s="1479">
        <v>25093000</v>
      </c>
      <c r="EV111" s="1479">
        <v>25094007</v>
      </c>
      <c r="EW111" s="1479">
        <v>25093000</v>
      </c>
      <c r="EX111" s="1479">
        <v>25094007</v>
      </c>
      <c r="EY111" s="1479">
        <v>25093000</v>
      </c>
      <c r="EZ111" s="1479">
        <v>25094007</v>
      </c>
      <c r="FA111" s="1479">
        <v>25093000</v>
      </c>
      <c r="FB111" s="1479">
        <v>25094007</v>
      </c>
      <c r="FC111" s="1479">
        <v>25093000</v>
      </c>
      <c r="FD111" s="1479">
        <v>25000000</v>
      </c>
      <c r="FE111" s="1479">
        <v>25093000</v>
      </c>
      <c r="FF111" s="1479">
        <v>25000000</v>
      </c>
      <c r="FG111" s="1479">
        <v>25093000</v>
      </c>
      <c r="FH111" s="1479">
        <v>25000000</v>
      </c>
      <c r="FI111" s="1479">
        <v>25093000</v>
      </c>
      <c r="FJ111" s="1479">
        <v>25000000</v>
      </c>
      <c r="FK111" s="1479">
        <v>25093000</v>
      </c>
      <c r="FL111" s="1479">
        <v>25000000</v>
      </c>
      <c r="FM111" s="1479">
        <v>25093000</v>
      </c>
      <c r="FN111" s="1479">
        <v>25000000</v>
      </c>
      <c r="FO111" s="1493">
        <v>25093000</v>
      </c>
      <c r="FP111" s="1493">
        <v>25000000</v>
      </c>
      <c r="FQ111" s="1493">
        <v>25093000</v>
      </c>
      <c r="FR111" s="1493">
        <v>25000000</v>
      </c>
      <c r="FS111" s="1493">
        <v>25093000</v>
      </c>
      <c r="FT111" s="1494">
        <v>25000000</v>
      </c>
      <c r="FU111" s="1493">
        <v>25093000</v>
      </c>
      <c r="FV111" s="1494">
        <v>25000000</v>
      </c>
      <c r="FW111" s="1493">
        <v>25093000</v>
      </c>
      <c r="FX111" s="1494">
        <v>25000000</v>
      </c>
      <c r="FY111" s="1493">
        <v>25093000</v>
      </c>
      <c r="FZ111" s="1494">
        <v>25000000</v>
      </c>
      <c r="GA111" s="1493">
        <v>18401000</v>
      </c>
      <c r="GB111" s="1493"/>
      <c r="GC111" s="1479"/>
    </row>
    <row r="112" spans="1:187" s="1425" customFormat="1" outlineLevel="1">
      <c r="A112" s="1429"/>
      <c r="B112" s="1429"/>
      <c r="C112" s="1429"/>
      <c r="D112" s="1429"/>
      <c r="E112" s="1429"/>
      <c r="F112" s="1429"/>
      <c r="G112" s="1429"/>
      <c r="H112" s="1429"/>
      <c r="I112" s="1429"/>
      <c r="J112" s="1429"/>
      <c r="K112" s="1429"/>
      <c r="L112" s="1429"/>
      <c r="M112" s="1429"/>
      <c r="N112" s="1429"/>
      <c r="O112" s="1429"/>
      <c r="Q112" s="1279"/>
      <c r="R112" s="1006">
        <v>10</v>
      </c>
      <c r="S112" s="1481" t="s">
        <v>233</v>
      </c>
      <c r="T112" s="1482">
        <f t="shared" si="66"/>
        <v>908260800</v>
      </c>
      <c r="U112" s="1482">
        <f>SUMIF(Z$99:$AO$99,$U$99,Z112:AO112)</f>
        <v>813683100</v>
      </c>
      <c r="V112" s="1483">
        <v>102577700</v>
      </c>
      <c r="W112" s="1484">
        <f>'3-2) 손익계산서(월간)'!D15</f>
        <v>0</v>
      </c>
      <c r="X112" s="1483">
        <v>102577700</v>
      </c>
      <c r="Y112" s="1484">
        <v>103577700</v>
      </c>
      <c r="Z112" s="1495">
        <v>102577700</v>
      </c>
      <c r="AA112" s="1474">
        <v>103577700</v>
      </c>
      <c r="AB112" s="1476">
        <v>102577700</v>
      </c>
      <c r="AC112" s="1474">
        <v>106565400</v>
      </c>
      <c r="AD112" s="1476">
        <v>102577700</v>
      </c>
      <c r="AE112" s="1474">
        <v>100590000</v>
      </c>
      <c r="AF112" s="1495">
        <v>99590000</v>
      </c>
      <c r="AG112" s="1474">
        <v>100590000</v>
      </c>
      <c r="AH112" s="1495">
        <v>99590000</v>
      </c>
      <c r="AI112" s="1474">
        <v>100590000</v>
      </c>
      <c r="AJ112" s="1495">
        <v>99590000</v>
      </c>
      <c r="AK112" s="1474">
        <v>100590000</v>
      </c>
      <c r="AL112" s="1495">
        <v>99590000</v>
      </c>
      <c r="AM112" s="1474">
        <v>100590000</v>
      </c>
      <c r="AN112" s="1495">
        <v>99590000</v>
      </c>
      <c r="AO112" s="1474">
        <v>100590000</v>
      </c>
      <c r="AP112" s="1495">
        <v>99629250</v>
      </c>
      <c r="AQ112" s="1474">
        <v>100590000</v>
      </c>
      <c r="AR112" s="1479">
        <v>99629250</v>
      </c>
      <c r="AS112" s="1474">
        <v>100590000</v>
      </c>
      <c r="AT112" s="1479">
        <v>99629250</v>
      </c>
      <c r="AU112" s="1479">
        <v>100590000</v>
      </c>
      <c r="AV112" s="1479">
        <v>99629250</v>
      </c>
      <c r="AW112" s="1479">
        <v>100590000</v>
      </c>
      <c r="AX112" s="1479">
        <v>99629250</v>
      </c>
      <c r="AY112" s="1479">
        <v>100590000</v>
      </c>
      <c r="AZ112" s="1479">
        <v>99629250</v>
      </c>
      <c r="BA112" s="1479">
        <v>100590000</v>
      </c>
      <c r="BB112" s="1479">
        <v>99629250</v>
      </c>
      <c r="BC112" s="1479">
        <v>100590000</v>
      </c>
      <c r="BD112" s="1479">
        <v>99629250</v>
      </c>
      <c r="BE112" s="1479">
        <v>95885000</v>
      </c>
      <c r="BF112" s="1479">
        <v>99629250</v>
      </c>
      <c r="BG112" s="1479">
        <v>95885000</v>
      </c>
      <c r="BH112" s="1479">
        <v>94885000</v>
      </c>
      <c r="BI112" s="1474">
        <v>95885000</v>
      </c>
      <c r="BJ112" s="1479">
        <v>94885000</v>
      </c>
      <c r="BK112" s="1474">
        <v>95885000</v>
      </c>
      <c r="BL112" s="1479">
        <v>94885000</v>
      </c>
      <c r="BM112" s="1479">
        <v>95885000</v>
      </c>
      <c r="BN112" s="1479">
        <v>94885000</v>
      </c>
      <c r="BO112" s="1474">
        <v>95885000</v>
      </c>
      <c r="BP112" s="1479">
        <v>94885000</v>
      </c>
      <c r="BQ112" s="1474">
        <v>95885000</v>
      </c>
      <c r="BR112" s="1479">
        <v>94885000</v>
      </c>
      <c r="BS112" s="1474">
        <v>95885000</v>
      </c>
      <c r="BT112" s="1479">
        <v>94885000</v>
      </c>
      <c r="BU112" s="1474">
        <v>95885000</v>
      </c>
      <c r="BV112" s="1479">
        <v>94885000</v>
      </c>
      <c r="BW112" s="1474">
        <v>96885000</v>
      </c>
      <c r="BX112" s="1496">
        <v>94885000</v>
      </c>
      <c r="BY112" s="1472">
        <v>94885000</v>
      </c>
      <c r="BZ112" s="1472">
        <v>94885000</v>
      </c>
      <c r="CA112" s="1472">
        <v>94885000</v>
      </c>
      <c r="CB112" s="1472">
        <v>90895000</v>
      </c>
      <c r="CC112" s="1472">
        <v>90895000</v>
      </c>
      <c r="CD112" s="1472">
        <v>90895970.044</v>
      </c>
      <c r="CE112" s="1472">
        <v>90895000</v>
      </c>
      <c r="CF112" s="1472">
        <v>90895970.044</v>
      </c>
      <c r="CG112" s="1501">
        <v>90895000</v>
      </c>
      <c r="CH112" s="1472">
        <v>90895970.044</v>
      </c>
      <c r="CI112" s="1501">
        <v>90895000</v>
      </c>
      <c r="CJ112" s="1472">
        <v>90895970.044</v>
      </c>
      <c r="CK112" s="1501">
        <v>90895000</v>
      </c>
      <c r="CL112" s="1472">
        <v>90895970.044</v>
      </c>
      <c r="CM112" s="1501">
        <v>90833500</v>
      </c>
      <c r="CN112" s="1472">
        <v>90946000</v>
      </c>
      <c r="CO112" s="1501">
        <v>90772000</v>
      </c>
      <c r="CP112" s="1472">
        <v>90946000</v>
      </c>
      <c r="CQ112" s="1501">
        <v>90772000</v>
      </c>
      <c r="CR112" s="1472">
        <v>90946000</v>
      </c>
      <c r="CS112" s="1501">
        <v>90772000</v>
      </c>
      <c r="CT112" s="1472">
        <v>90946000</v>
      </c>
      <c r="CU112" s="1501">
        <v>90772000</v>
      </c>
      <c r="CV112" s="1472">
        <v>90946000</v>
      </c>
      <c r="CW112" s="1501">
        <v>90772000</v>
      </c>
      <c r="CX112" s="1472">
        <v>90946000</v>
      </c>
      <c r="CY112" s="1501">
        <v>90772000</v>
      </c>
      <c r="CZ112" s="1472">
        <v>90946000</v>
      </c>
      <c r="DA112" s="1501">
        <v>90772000</v>
      </c>
      <c r="DB112" s="1472">
        <v>90946000</v>
      </c>
      <c r="DC112" s="1501">
        <v>90772000</v>
      </c>
      <c r="DD112" s="1472">
        <v>87056000</v>
      </c>
      <c r="DE112" s="1501">
        <v>87056000</v>
      </c>
      <c r="DF112" s="1472">
        <v>87056000</v>
      </c>
      <c r="DG112" s="1501">
        <v>87056000</v>
      </c>
      <c r="DH112" s="1472">
        <v>87056000</v>
      </c>
      <c r="DI112" s="1501">
        <v>87056000</v>
      </c>
      <c r="DJ112" s="1472">
        <v>87995000</v>
      </c>
      <c r="DK112" s="1501">
        <v>87056000</v>
      </c>
      <c r="DL112" s="1472">
        <v>87995000</v>
      </c>
      <c r="DM112" s="1501">
        <v>87056000</v>
      </c>
      <c r="DN112" s="1472">
        <v>87995000</v>
      </c>
      <c r="DO112" s="1501">
        <v>87056000</v>
      </c>
      <c r="DP112" s="1472">
        <v>87995000</v>
      </c>
      <c r="DQ112" s="1501">
        <v>87056000</v>
      </c>
      <c r="DR112" s="1472">
        <v>87995000</v>
      </c>
      <c r="DS112" s="1501">
        <v>87056000</v>
      </c>
      <c r="DT112" s="1472">
        <v>87995000</v>
      </c>
      <c r="DU112" s="1472">
        <v>87056000</v>
      </c>
      <c r="DV112" s="1472">
        <v>87995000</v>
      </c>
      <c r="DW112" s="1472">
        <v>87056000</v>
      </c>
      <c r="DX112" s="1472">
        <v>87995000</v>
      </c>
      <c r="DY112" s="1492">
        <v>87056000</v>
      </c>
      <c r="DZ112" s="1472">
        <v>87995000</v>
      </c>
      <c r="EA112" s="1492">
        <v>87056000</v>
      </c>
      <c r="EB112" s="1472">
        <v>79000000</v>
      </c>
      <c r="EC112" s="1492">
        <v>79000000</v>
      </c>
      <c r="ED112" s="1472">
        <v>79000000</v>
      </c>
      <c r="EE112" s="1492">
        <v>79000000</v>
      </c>
      <c r="EF112" s="1492">
        <v>79000000</v>
      </c>
      <c r="EG112" s="1492">
        <v>79000000</v>
      </c>
      <c r="EH112" s="1479">
        <v>80791666.666666701</v>
      </c>
      <c r="EI112" s="1479">
        <v>79000000</v>
      </c>
      <c r="EJ112" s="1479">
        <v>80791666.666666701</v>
      </c>
      <c r="EK112" s="1479">
        <v>79000000</v>
      </c>
      <c r="EL112" s="1479">
        <v>80791666.666666701</v>
      </c>
      <c r="EM112" s="1479">
        <v>78777419</v>
      </c>
      <c r="EN112" s="1479">
        <v>80791666.666666701</v>
      </c>
      <c r="EO112" s="1479">
        <v>78700000</v>
      </c>
      <c r="EP112" s="1479">
        <v>80791666.666666701</v>
      </c>
      <c r="EQ112" s="1479">
        <v>78700000</v>
      </c>
      <c r="ER112" s="1479">
        <v>80791666.666666701</v>
      </c>
      <c r="ES112" s="1479">
        <v>78700000</v>
      </c>
      <c r="ET112" s="1479">
        <v>80791666.666666701</v>
      </c>
      <c r="EU112" s="1479">
        <v>78700000</v>
      </c>
      <c r="EV112" s="1479">
        <v>80791666.666666701</v>
      </c>
      <c r="EW112" s="1479">
        <v>78700000</v>
      </c>
      <c r="EX112" s="1479">
        <v>80791666.666666701</v>
      </c>
      <c r="EY112" s="1479">
        <v>78700000</v>
      </c>
      <c r="EZ112" s="1479">
        <v>75791666.666666701</v>
      </c>
      <c r="FA112" s="1479">
        <v>72792500</v>
      </c>
      <c r="FB112" s="1479">
        <v>75791666.666666701</v>
      </c>
      <c r="FC112" s="1479">
        <v>72130000</v>
      </c>
      <c r="FD112" s="1479">
        <v>71000000</v>
      </c>
      <c r="FE112" s="1479">
        <v>72792500</v>
      </c>
      <c r="FF112" s="1479">
        <v>71000000</v>
      </c>
      <c r="FG112" s="1479">
        <v>72130000</v>
      </c>
      <c r="FH112" s="1479">
        <v>71000000</v>
      </c>
      <c r="FI112" s="1479">
        <v>72792500</v>
      </c>
      <c r="FJ112" s="1479">
        <v>71000000</v>
      </c>
      <c r="FK112" s="1479">
        <v>71430000</v>
      </c>
      <c r="FL112" s="1479">
        <v>71000000</v>
      </c>
      <c r="FM112" s="1479">
        <v>72092500</v>
      </c>
      <c r="FN112" s="1479">
        <v>71000000</v>
      </c>
      <c r="FO112" s="1493">
        <v>71430000</v>
      </c>
      <c r="FP112" s="1493">
        <v>71000000</v>
      </c>
      <c r="FQ112" s="1493">
        <v>72092500</v>
      </c>
      <c r="FR112" s="1493">
        <v>71000000</v>
      </c>
      <c r="FS112" s="1493">
        <v>71430000</v>
      </c>
      <c r="FT112" s="1494">
        <v>71000000</v>
      </c>
      <c r="FU112" s="1493">
        <v>72317500</v>
      </c>
      <c r="FV112" s="1494">
        <v>71000000</v>
      </c>
      <c r="FW112" s="1493">
        <v>71430000</v>
      </c>
      <c r="FX112" s="1494">
        <v>71000000</v>
      </c>
      <c r="FY112" s="1493">
        <v>72706000</v>
      </c>
      <c r="FZ112" s="1494">
        <v>71000000</v>
      </c>
      <c r="GA112" s="1493">
        <v>54148000</v>
      </c>
      <c r="GB112" s="1493"/>
      <c r="GC112" s="1479"/>
      <c r="GD112" s="1425" t="s">
        <v>1019</v>
      </c>
    </row>
    <row r="113" spans="1:195" s="1425" customFormat="1" outlineLevel="1">
      <c r="A113" s="1429"/>
      <c r="B113" s="1429"/>
      <c r="C113" s="1429"/>
      <c r="D113" s="1429"/>
      <c r="E113" s="1429"/>
      <c r="F113" s="1429"/>
      <c r="G113" s="1429"/>
      <c r="H113" s="1429"/>
      <c r="I113" s="1429"/>
      <c r="J113" s="1429"/>
      <c r="K113" s="1429"/>
      <c r="L113" s="1429"/>
      <c r="M113" s="1429"/>
      <c r="N113" s="1429"/>
      <c r="O113" s="1429"/>
      <c r="Q113" s="1279"/>
      <c r="R113" s="1006"/>
      <c r="S113" s="1502"/>
      <c r="T113" s="1482">
        <f t="shared" si="66"/>
        <v>0</v>
      </c>
      <c r="U113" s="1482">
        <f>SUMIF(Z$99:$AO$99,$U$99,Z113:AO113)</f>
        <v>0</v>
      </c>
      <c r="V113" s="1483"/>
      <c r="W113" s="1484"/>
      <c r="X113" s="1483"/>
      <c r="Y113" s="1484"/>
      <c r="Z113" s="1495"/>
      <c r="AA113" s="1474"/>
      <c r="AB113" s="1476"/>
      <c r="AC113" s="1474"/>
      <c r="AD113" s="1476"/>
      <c r="AE113" s="1474">
        <v>0</v>
      </c>
      <c r="AF113" s="1495"/>
      <c r="AG113" s="1474">
        <v>0</v>
      </c>
      <c r="AH113" s="1495"/>
      <c r="AI113" s="1474">
        <v>0</v>
      </c>
      <c r="AJ113" s="1495"/>
      <c r="AK113" s="1474"/>
      <c r="AL113" s="1495"/>
      <c r="AM113" s="1474"/>
      <c r="AN113" s="1495"/>
      <c r="AO113" s="1474"/>
      <c r="AP113" s="1495"/>
      <c r="AQ113" s="1474"/>
      <c r="AR113" s="1479"/>
      <c r="AS113" s="1474"/>
      <c r="AT113" s="1479"/>
      <c r="AU113" s="1479"/>
      <c r="AV113" s="1479"/>
      <c r="AW113" s="1479"/>
      <c r="AX113" s="1479"/>
      <c r="AY113" s="1479"/>
      <c r="AZ113" s="1479"/>
      <c r="BA113" s="1479"/>
      <c r="BB113" s="1479"/>
      <c r="BC113" s="1479"/>
      <c r="BD113" s="1479"/>
      <c r="BE113" s="1479"/>
      <c r="BF113" s="1479"/>
      <c r="BG113" s="1479"/>
      <c r="BH113" s="1479"/>
      <c r="BI113" s="1474"/>
      <c r="BJ113" s="1479"/>
      <c r="BK113" s="1474"/>
      <c r="BL113" s="1479"/>
      <c r="BM113" s="1479"/>
      <c r="BN113" s="1479"/>
      <c r="BO113" s="1474"/>
      <c r="BP113" s="1479"/>
      <c r="BQ113" s="1474"/>
      <c r="BR113" s="1479"/>
      <c r="BS113" s="1474"/>
      <c r="BT113" s="1479"/>
      <c r="BU113" s="1474"/>
      <c r="BV113" s="1479"/>
      <c r="BW113" s="1474"/>
      <c r="BX113" s="1496"/>
      <c r="BY113" s="1472">
        <f>127584000+75064000+1671</f>
        <v>202649671</v>
      </c>
      <c r="BZ113" s="1472"/>
      <c r="CA113" s="1472"/>
      <c r="CB113" s="1472"/>
      <c r="CC113" s="1472"/>
      <c r="CD113" s="1472"/>
      <c r="CE113" s="1472"/>
      <c r="CF113" s="1472"/>
      <c r="CG113" s="1472"/>
      <c r="CH113" s="1472"/>
      <c r="CI113" s="1472"/>
      <c r="CJ113" s="1472"/>
      <c r="CK113" s="1472"/>
      <c r="CL113" s="1472"/>
      <c r="CM113" s="1472"/>
      <c r="CN113" s="1472"/>
      <c r="CO113" s="1472"/>
      <c r="CP113" s="1472"/>
      <c r="CQ113" s="1472"/>
      <c r="CR113" s="1472"/>
      <c r="CS113" s="1472"/>
      <c r="CT113" s="1472"/>
      <c r="CU113" s="1472"/>
      <c r="CV113" s="1472"/>
      <c r="CW113" s="1472"/>
      <c r="CX113" s="1472"/>
      <c r="CY113" s="1482"/>
      <c r="CZ113" s="1472"/>
      <c r="DA113" s="1482"/>
      <c r="DB113" s="1472"/>
      <c r="DC113" s="1482"/>
      <c r="DD113" s="1472"/>
      <c r="DE113" s="1482"/>
      <c r="DF113" s="1472"/>
      <c r="DG113" s="1482"/>
      <c r="DH113" s="1472"/>
      <c r="DI113" s="1482"/>
      <c r="DJ113" s="1472"/>
      <c r="DK113" s="1482"/>
      <c r="DL113" s="1472"/>
      <c r="DM113" s="1482"/>
      <c r="DN113" s="1472"/>
      <c r="DO113" s="1482"/>
      <c r="DP113" s="1472"/>
      <c r="DQ113" s="1482"/>
      <c r="DR113" s="1472"/>
      <c r="DS113" s="1482"/>
      <c r="DT113" s="1472"/>
      <c r="DU113" s="1472"/>
      <c r="DV113" s="1472">
        <v>0</v>
      </c>
      <c r="DW113" s="1472"/>
      <c r="DX113" s="1472"/>
      <c r="DY113" s="1472"/>
      <c r="DZ113" s="1472"/>
      <c r="EA113" s="1472"/>
      <c r="EB113" s="1472"/>
      <c r="EC113" s="1472"/>
      <c r="ED113" s="1472"/>
      <c r="EE113" s="1472"/>
      <c r="EF113" s="1492"/>
      <c r="EG113" s="1492"/>
      <c r="EH113" s="1479"/>
      <c r="EI113" s="1479"/>
      <c r="EJ113" s="1479"/>
      <c r="EK113" s="1479"/>
      <c r="EL113" s="1479"/>
      <c r="EM113" s="1479"/>
      <c r="EN113" s="1479"/>
      <c r="EO113" s="1479"/>
      <c r="EP113" s="1479"/>
      <c r="EQ113" s="1479"/>
      <c r="ER113" s="1479"/>
      <c r="ES113" s="1479"/>
      <c r="ET113" s="1479"/>
      <c r="EU113" s="1479"/>
      <c r="EV113" s="1479"/>
      <c r="EW113" s="1479"/>
      <c r="EX113" s="1479"/>
      <c r="EY113" s="1479"/>
      <c r="EZ113" s="1479"/>
      <c r="FA113" s="1479"/>
      <c r="FB113" s="1479"/>
      <c r="FC113" s="1479"/>
      <c r="FD113" s="1479"/>
      <c r="FE113" s="1479"/>
      <c r="FF113" s="1479"/>
      <c r="FG113" s="1479"/>
      <c r="FH113" s="1479"/>
      <c r="FI113" s="1479"/>
      <c r="FJ113" s="1479"/>
      <c r="FK113" s="1479"/>
      <c r="FL113" s="1479"/>
      <c r="FM113" s="1479"/>
      <c r="FN113" s="1479"/>
      <c r="FO113" s="1493"/>
      <c r="FP113" s="1493"/>
      <c r="FQ113" s="1493"/>
      <c r="FR113" s="1493"/>
      <c r="FS113" s="1493"/>
      <c r="FT113" s="1494"/>
      <c r="FU113" s="1493"/>
      <c r="FV113" s="1494"/>
      <c r="FW113" s="1493"/>
      <c r="FX113" s="1494"/>
      <c r="FY113" s="1493"/>
      <c r="FZ113" s="1494"/>
      <c r="GA113" s="1493"/>
      <c r="GB113" s="1493"/>
      <c r="GC113" s="1479"/>
    </row>
    <row r="114" spans="1:195" s="1425" customFormat="1" outlineLevel="1">
      <c r="J114" s="1503"/>
      <c r="K114" s="1504"/>
      <c r="L114" s="1504"/>
      <c r="M114" s="1504"/>
      <c r="N114" s="1504"/>
      <c r="O114" s="1504"/>
      <c r="P114" s="1505" t="s">
        <v>1020</v>
      </c>
      <c r="Q114" s="1279"/>
      <c r="R114" s="1006">
        <v>11</v>
      </c>
      <c r="S114" s="1506" t="s">
        <v>1021</v>
      </c>
      <c r="T114" s="1507">
        <f t="shared" si="66"/>
        <v>2918288975.1033959</v>
      </c>
      <c r="U114" s="1507">
        <f>SUMIF(Z$99:$AO$99,$U$99,Z114:AO114)</f>
        <v>2756697017</v>
      </c>
      <c r="V114" s="1508">
        <f>V115+V116+V117</f>
        <v>405892441.70076692</v>
      </c>
      <c r="W114" s="1509">
        <f>'3-2) 손익계산서(월간)'!D18</f>
        <v>413706309</v>
      </c>
      <c r="X114" s="1508">
        <f>X115+X116+X117</f>
        <v>396278556.28855091</v>
      </c>
      <c r="Y114" s="1509">
        <v>394312625</v>
      </c>
      <c r="Z114" s="1510">
        <f>Z115+Z116+Z117</f>
        <v>321409108.66254306</v>
      </c>
      <c r="AA114" s="1509">
        <v>359653729</v>
      </c>
      <c r="AB114" s="1511">
        <v>279522374</v>
      </c>
      <c r="AC114" s="1509">
        <v>322403433</v>
      </c>
      <c r="AD114" s="1512">
        <v>314177836</v>
      </c>
      <c r="AE114" s="1513">
        <v>338346504</v>
      </c>
      <c r="AF114" s="1510">
        <v>330139729</v>
      </c>
      <c r="AG114" s="1513">
        <v>343427388</v>
      </c>
      <c r="AH114" s="1510">
        <v>364283361</v>
      </c>
      <c r="AI114" s="1513">
        <v>384093196</v>
      </c>
      <c r="AJ114" s="1510">
        <v>365078312.15230221</v>
      </c>
      <c r="AK114" s="1509">
        <v>364008035</v>
      </c>
      <c r="AL114" s="1510">
        <v>282469599</v>
      </c>
      <c r="AM114" s="1509">
        <v>345633869</v>
      </c>
      <c r="AN114" s="1510">
        <v>264930099</v>
      </c>
      <c r="AO114" s="1509">
        <v>299130863</v>
      </c>
      <c r="AP114" s="1510">
        <v>302095168</v>
      </c>
      <c r="AQ114" s="1484">
        <v>409223839</v>
      </c>
      <c r="AR114" s="1488">
        <v>360948169</v>
      </c>
      <c r="AS114" s="1484">
        <v>437913442</v>
      </c>
      <c r="AT114" s="1488">
        <v>359511359</v>
      </c>
      <c r="AU114" s="1489">
        <v>427131835</v>
      </c>
      <c r="AV114" s="1488">
        <v>324552884</v>
      </c>
      <c r="AW114" s="1489">
        <v>394793914</v>
      </c>
      <c r="AX114" s="1488">
        <v>280151486</v>
      </c>
      <c r="AY114" s="1489">
        <v>395101515</v>
      </c>
      <c r="AZ114" s="1488">
        <v>257918264</v>
      </c>
      <c r="BA114" s="1489">
        <v>327467911</v>
      </c>
      <c r="BB114" s="1488">
        <v>266096044</v>
      </c>
      <c r="BC114" s="1489">
        <v>329100100</v>
      </c>
      <c r="BD114" s="1488">
        <v>313377187</v>
      </c>
      <c r="BE114" s="1489">
        <v>353215063</v>
      </c>
      <c r="BF114" s="1488">
        <v>328781848</v>
      </c>
      <c r="BG114" s="1489">
        <v>377083029</v>
      </c>
      <c r="BH114" s="1488">
        <v>311977585</v>
      </c>
      <c r="BI114" s="1484">
        <v>378131231</v>
      </c>
      <c r="BJ114" s="1488">
        <v>276544584</v>
      </c>
      <c r="BK114" s="1484">
        <v>308902745</v>
      </c>
      <c r="BL114" s="1488">
        <f>BL115+BL116+BL117</f>
        <v>261608051</v>
      </c>
      <c r="BM114" s="1489">
        <v>285951285</v>
      </c>
      <c r="BN114" s="1488">
        <v>265576650</v>
      </c>
      <c r="BO114" s="1484">
        <v>317681957</v>
      </c>
      <c r="BP114" s="1489">
        <v>314072941</v>
      </c>
      <c r="BQ114" s="1484">
        <v>402301593</v>
      </c>
      <c r="BR114" s="1489">
        <v>328634350</v>
      </c>
      <c r="BS114" s="1484">
        <v>370078207</v>
      </c>
      <c r="BT114" s="1489">
        <v>309147635</v>
      </c>
      <c r="BU114" s="1484">
        <v>340413354</v>
      </c>
      <c r="BV114" s="1489">
        <v>248299485</v>
      </c>
      <c r="BW114" s="1484">
        <v>325771639</v>
      </c>
      <c r="BX114" s="1491">
        <v>239306775.32554799</v>
      </c>
      <c r="BY114" s="1482">
        <v>282655333</v>
      </c>
      <c r="BZ114" s="1482">
        <v>247373784.14476335</v>
      </c>
      <c r="CA114" s="1482">
        <v>274325033</v>
      </c>
      <c r="CB114" s="1482">
        <v>270852760.12662703</v>
      </c>
      <c r="CC114" s="1482">
        <v>327044003</v>
      </c>
      <c r="CD114" s="1482">
        <v>303052410.98743099</v>
      </c>
      <c r="CE114" s="1482">
        <v>327044003</v>
      </c>
      <c r="CF114" s="1482">
        <v>303052410.98743099</v>
      </c>
      <c r="CG114" s="1482">
        <v>314785879</v>
      </c>
      <c r="CH114" s="1482">
        <v>303052410.98743099</v>
      </c>
      <c r="CI114" s="1482">
        <v>284490782</v>
      </c>
      <c r="CJ114" s="1472">
        <v>303052410.98743099</v>
      </c>
      <c r="CK114" s="1482">
        <v>268123923</v>
      </c>
      <c r="CL114" s="1472">
        <v>303052410.98743099</v>
      </c>
      <c r="CM114" s="1482">
        <v>289388161</v>
      </c>
      <c r="CN114" s="1472">
        <v>364894197.18000001</v>
      </c>
      <c r="CO114" s="1482">
        <v>341095074</v>
      </c>
      <c r="CP114" s="1472">
        <v>349083068.04000002</v>
      </c>
      <c r="CQ114" s="1482">
        <v>347468753</v>
      </c>
      <c r="CR114" s="1472">
        <v>345227826.06</v>
      </c>
      <c r="CS114" s="1482">
        <v>329170625</v>
      </c>
      <c r="CT114" s="1472">
        <v>306402544.01999998</v>
      </c>
      <c r="CU114" s="1482">
        <v>291173499</v>
      </c>
      <c r="CV114" s="1472">
        <v>294429512.69999999</v>
      </c>
      <c r="CW114" s="1482">
        <v>281879107</v>
      </c>
      <c r="CX114" s="1472">
        <v>271182398.94</v>
      </c>
      <c r="CY114" s="1482">
        <v>283248510</v>
      </c>
      <c r="CZ114" s="1472">
        <v>305044267.13999999</v>
      </c>
      <c r="DA114" s="1482">
        <v>298805052</v>
      </c>
      <c r="DB114" s="1472">
        <v>304252661.45999998</v>
      </c>
      <c r="DC114" s="1482">
        <v>312331270</v>
      </c>
      <c r="DD114" s="1472">
        <v>319194658.80000001</v>
      </c>
      <c r="DE114" s="1482">
        <v>310038539</v>
      </c>
      <c r="DF114" s="1482">
        <v>306935960.16000003</v>
      </c>
      <c r="DG114" s="1482">
        <v>282043507</v>
      </c>
      <c r="DH114" s="1472">
        <v>291004389.42000002</v>
      </c>
      <c r="DI114" s="1482">
        <v>259135435</v>
      </c>
      <c r="DJ114" s="1472">
        <v>301459560.03465503</v>
      </c>
      <c r="DK114" s="1482">
        <v>299922635</v>
      </c>
      <c r="DL114" s="1472">
        <v>377568969.12</v>
      </c>
      <c r="DM114" s="1482">
        <v>357739409</v>
      </c>
      <c r="DN114" s="1472">
        <v>359155679.22000003</v>
      </c>
      <c r="DO114" s="1482">
        <v>382144874.61227316</v>
      </c>
      <c r="DP114" s="1472">
        <v>337890718.19999999</v>
      </c>
      <c r="DQ114" s="1482">
        <v>394122210.15202576</v>
      </c>
      <c r="DR114" s="1472">
        <v>328338703.80000001</v>
      </c>
      <c r="DS114" s="1482">
        <v>300394651</v>
      </c>
      <c r="DT114" s="1472">
        <v>297108032.69999999</v>
      </c>
      <c r="DU114" s="1472">
        <v>288656385</v>
      </c>
      <c r="DV114" s="1472">
        <v>288882963.84000003</v>
      </c>
      <c r="DW114" s="1472">
        <v>265865097</v>
      </c>
      <c r="DX114" s="1472">
        <v>327904505.10000002</v>
      </c>
      <c r="DY114" s="1472">
        <v>299063007</v>
      </c>
      <c r="DZ114" s="1472">
        <v>359374130.57999998</v>
      </c>
      <c r="EA114" s="1472">
        <v>298286923</v>
      </c>
      <c r="EB114" s="1472">
        <v>337397532.89999998</v>
      </c>
      <c r="EC114" s="1472">
        <v>312935940</v>
      </c>
      <c r="ED114" s="1472">
        <v>310738581.36000001</v>
      </c>
      <c r="EE114" s="1472">
        <v>300917608</v>
      </c>
      <c r="EF114" s="1472">
        <v>280408808.94</v>
      </c>
      <c r="EG114" s="1472">
        <v>285298421</v>
      </c>
      <c r="EH114" s="1479">
        <v>345214508.5066663</v>
      </c>
      <c r="EI114" s="1479">
        <v>310529270.33593059</v>
      </c>
      <c r="EJ114" s="1479">
        <v>345214508.5066663</v>
      </c>
      <c r="EK114" s="1479">
        <v>369766384.42356986</v>
      </c>
      <c r="EL114" s="1479">
        <v>345214508.5066663</v>
      </c>
      <c r="EM114" s="1479">
        <v>351734356</v>
      </c>
      <c r="EN114" s="1479">
        <v>345214508.5066663</v>
      </c>
      <c r="EO114" s="1479">
        <v>330881806</v>
      </c>
      <c r="EP114" s="1479">
        <v>345214508.5066663</v>
      </c>
      <c r="EQ114" s="1479">
        <v>321521634.80188411</v>
      </c>
      <c r="ER114" s="1479">
        <v>345214508.5066663</v>
      </c>
      <c r="ES114" s="1479">
        <v>290898780.80188411</v>
      </c>
      <c r="ET114" s="1479">
        <v>345214508.5066663</v>
      </c>
      <c r="EU114" s="1479">
        <v>282839537</v>
      </c>
      <c r="EV114" s="1479">
        <v>345214508.5066663</v>
      </c>
      <c r="EW114" s="1479">
        <v>321095950</v>
      </c>
      <c r="EX114" s="1479">
        <v>345214508.5066663</v>
      </c>
      <c r="EY114" s="1479">
        <v>351948524</v>
      </c>
      <c r="EZ114" s="1479">
        <v>345214508.5066663</v>
      </c>
      <c r="FA114" s="1479">
        <v>330402840</v>
      </c>
      <c r="FB114" s="1479">
        <v>345214508.5066663</v>
      </c>
      <c r="FC114" s="1479">
        <v>304266613</v>
      </c>
      <c r="FD114" s="1479">
        <v>362055360</v>
      </c>
      <c r="FE114" s="1479">
        <v>274531542</v>
      </c>
      <c r="FF114" s="1479">
        <v>362055360</v>
      </c>
      <c r="FG114" s="1479">
        <v>303875577</v>
      </c>
      <c r="FH114" s="1479">
        <v>362055360</v>
      </c>
      <c r="FI114" s="1479">
        <v>383838430</v>
      </c>
      <c r="FJ114" s="1479">
        <v>362055360</v>
      </c>
      <c r="FK114" s="1479">
        <v>369768542</v>
      </c>
      <c r="FL114" s="1479">
        <v>362055360</v>
      </c>
      <c r="FM114" s="1479">
        <v>358170866</v>
      </c>
      <c r="FN114" s="1479">
        <v>362055360</v>
      </c>
      <c r="FO114" s="1479">
        <v>324744171</v>
      </c>
      <c r="FP114" s="1479">
        <v>362055360</v>
      </c>
      <c r="FQ114" s="1479">
        <v>300832205</v>
      </c>
      <c r="FR114" s="1479">
        <v>362055360</v>
      </c>
      <c r="FS114" s="1479">
        <v>294042415</v>
      </c>
      <c r="FT114" s="1479">
        <v>362055360</v>
      </c>
      <c r="FU114" s="1479">
        <v>330728363</v>
      </c>
      <c r="FV114" s="1479">
        <v>362055360</v>
      </c>
      <c r="FW114" s="1479">
        <v>336496331</v>
      </c>
      <c r="FX114" s="1479">
        <v>362055360</v>
      </c>
      <c r="FY114" s="1479">
        <v>340256467</v>
      </c>
      <c r="FZ114" s="1479">
        <v>362055360</v>
      </c>
      <c r="GA114" s="1479">
        <v>231408360</v>
      </c>
      <c r="GB114" s="1493"/>
      <c r="GC114" s="1479"/>
    </row>
    <row r="115" spans="1:195" s="1436" customFormat="1" outlineLevel="1">
      <c r="K115" s="1514"/>
      <c r="L115" s="1514"/>
      <c r="M115" s="1514"/>
      <c r="N115" s="1514"/>
      <c r="O115" s="1514"/>
      <c r="P115" s="1505" t="s">
        <v>1022</v>
      </c>
      <c r="Q115" s="2327"/>
      <c r="R115" s="1515"/>
      <c r="S115" s="1516" t="s">
        <v>230</v>
      </c>
      <c r="T115" s="1517">
        <f t="shared" si="66"/>
        <v>1490273252</v>
      </c>
      <c r="U115" s="1517">
        <f>SUMIF(Z$99:$AO$99,$U$99,Z115:AO115)</f>
        <v>1645628637</v>
      </c>
      <c r="V115" s="1518">
        <v>165913025.42628232</v>
      </c>
      <c r="W115" s="1519">
        <f>'3-2) 손익계산서(월간)'!D18-'4-2) 관리비용 세부'!Q62-'4-2) 관리비용 세부'!Q88</f>
        <v>196054104</v>
      </c>
      <c r="X115" s="1518">
        <f>3000000+29857662+130881424+1670707+503233</f>
        <v>165913026</v>
      </c>
      <c r="Y115" s="1519">
        <v>211341458</v>
      </c>
      <c r="Z115" s="1520">
        <f>2000000+29857662+130881424+1670707+503233</f>
        <v>164913026</v>
      </c>
      <c r="AA115" s="1519">
        <v>229373034</v>
      </c>
      <c r="AB115" s="1521">
        <v>164913026</v>
      </c>
      <c r="AC115" s="1519">
        <v>213267481</v>
      </c>
      <c r="AD115" s="1522">
        <v>165913026</v>
      </c>
      <c r="AE115" s="1519">
        <v>199233161</v>
      </c>
      <c r="AF115" s="1520">
        <v>165913026</v>
      </c>
      <c r="AG115" s="1519">
        <v>202234537</v>
      </c>
      <c r="AH115" s="1520">
        <v>164913026</v>
      </c>
      <c r="AI115" s="1519">
        <v>203065128</v>
      </c>
      <c r="AJ115" s="1520">
        <v>165878664</v>
      </c>
      <c r="AK115" s="1519">
        <v>200636280</v>
      </c>
      <c r="AL115" s="1523">
        <v>165878664</v>
      </c>
      <c r="AM115" s="1519">
        <v>203394398</v>
      </c>
      <c r="AN115" s="1523">
        <v>166037768</v>
      </c>
      <c r="AO115" s="1519">
        <v>194424618</v>
      </c>
      <c r="AP115" s="1523">
        <v>162786250</v>
      </c>
      <c r="AQ115" s="1519">
        <v>196094803</v>
      </c>
      <c r="AR115" s="1524">
        <v>162885397</v>
      </c>
      <c r="AS115" s="1519">
        <v>206385615</v>
      </c>
      <c r="AT115" s="1524">
        <v>162885397</v>
      </c>
      <c r="AU115" s="1525">
        <v>290105608.60398167</v>
      </c>
      <c r="AV115" s="1524">
        <v>162786250</v>
      </c>
      <c r="AW115" s="1525">
        <v>257767687.60398164</v>
      </c>
      <c r="AX115" s="1524">
        <v>162885397</v>
      </c>
      <c r="AY115" s="1525">
        <v>258075288.60398164</v>
      </c>
      <c r="AZ115" s="1524">
        <v>162786250</v>
      </c>
      <c r="BA115" s="1525">
        <v>190441684.60398164</v>
      </c>
      <c r="BB115" s="1524">
        <v>162885397</v>
      </c>
      <c r="BC115" s="1525">
        <v>192073873.60398164</v>
      </c>
      <c r="BD115" s="1524">
        <v>162587957</v>
      </c>
      <c r="BE115" s="1525">
        <v>216188836.60398164</v>
      </c>
      <c r="BF115" s="1524">
        <v>166637600</v>
      </c>
      <c r="BG115" s="1525">
        <v>240056802.60398164</v>
      </c>
      <c r="BH115" s="1524">
        <v>166637600</v>
      </c>
      <c r="BI115" s="1519">
        <v>241105004.60398164</v>
      </c>
      <c r="BJ115" s="1524">
        <v>166539503</v>
      </c>
      <c r="BK115" s="1519">
        <v>171876518.60398164</v>
      </c>
      <c r="BL115" s="1524">
        <f>3039605+29811817+131521475+1670707+593951</f>
        <v>166637555</v>
      </c>
      <c r="BM115" s="1525">
        <v>148925058.60398164</v>
      </c>
      <c r="BN115" s="1524">
        <v>161349615</v>
      </c>
      <c r="BO115" s="1519">
        <v>180655730.60398164</v>
      </c>
      <c r="BP115" s="1525">
        <v>161415368</v>
      </c>
      <c r="BQ115" s="1519">
        <v>265275366.60398167</v>
      </c>
      <c r="BR115" s="1525">
        <v>161415368</v>
      </c>
      <c r="BS115" s="1519">
        <v>195787330</v>
      </c>
      <c r="BT115" s="1525">
        <v>161349614</v>
      </c>
      <c r="BU115" s="1519">
        <v>151099122</v>
      </c>
      <c r="BV115" s="1525">
        <v>161415368</v>
      </c>
      <c r="BW115" s="1519">
        <v>151099122</v>
      </c>
      <c r="BX115" s="1526">
        <v>161349614.40712953</v>
      </c>
      <c r="BY115" s="1526">
        <v>151099122</v>
      </c>
      <c r="BZ115" s="1526">
        <v>161415367.83178708</v>
      </c>
      <c r="CA115" s="1526">
        <v>196585143</v>
      </c>
      <c r="CB115" s="1526">
        <v>161218107.55781448</v>
      </c>
      <c r="CC115" s="1526">
        <v>195439229</v>
      </c>
      <c r="CD115" s="1526">
        <v>198494163.23743099</v>
      </c>
      <c r="CE115" s="1526">
        <v>185351151</v>
      </c>
      <c r="CF115" s="1527">
        <v>198494163.23743099</v>
      </c>
      <c r="CG115" s="1517">
        <v>216072741</v>
      </c>
      <c r="CH115" s="1527">
        <f>CH114-CH116-CH117</f>
        <v>198494163.23743099</v>
      </c>
      <c r="CI115" s="1517">
        <v>185624007</v>
      </c>
      <c r="CJ115" s="1527">
        <v>198494163.23743099</v>
      </c>
      <c r="CK115" s="1517">
        <v>187606419</v>
      </c>
      <c r="CL115" s="1527">
        <v>198494163.23743099</v>
      </c>
      <c r="CM115" s="1517">
        <v>190675023</v>
      </c>
      <c r="CN115" s="1527"/>
      <c r="CO115" s="1517">
        <v>200555007.29617646</v>
      </c>
      <c r="CP115" s="1527"/>
      <c r="CQ115" s="1517">
        <v>190039002.1547032</v>
      </c>
      <c r="CR115" s="1527"/>
      <c r="CS115" s="1517">
        <v>194961286.67645273</v>
      </c>
      <c r="CT115" s="1527"/>
      <c r="CU115" s="1517">
        <v>211528168.89470285</v>
      </c>
      <c r="CV115" s="1527"/>
      <c r="CW115" s="1517">
        <v>211037233.00331634</v>
      </c>
      <c r="CX115" s="1527"/>
      <c r="CY115" s="1517">
        <v>207034180.91842356</v>
      </c>
      <c r="CZ115" s="1527"/>
      <c r="DA115" s="1517">
        <v>193633888.28526908</v>
      </c>
      <c r="DB115" s="1527"/>
      <c r="DC115" s="1517">
        <v>188286920.89732337</v>
      </c>
      <c r="DD115" s="1527"/>
      <c r="DE115" s="1517">
        <v>191486886.20465854</v>
      </c>
      <c r="DF115" s="1527"/>
      <c r="DG115" s="1517">
        <v>189852489.98268139</v>
      </c>
      <c r="DH115" s="1527"/>
      <c r="DI115" s="1517">
        <v>188434124.43268102</v>
      </c>
      <c r="DJ115" s="1527"/>
      <c r="DK115" s="1517">
        <v>195650671.87204391</v>
      </c>
      <c r="DL115" s="1527">
        <v>0</v>
      </c>
      <c r="DM115" s="1517">
        <v>200841801.40901458</v>
      </c>
      <c r="DN115" s="1527">
        <v>0</v>
      </c>
      <c r="DO115" s="1517">
        <v>226606764.05442357</v>
      </c>
      <c r="DP115" s="1527">
        <v>0</v>
      </c>
      <c r="DQ115" s="1517">
        <v>253953750.399878</v>
      </c>
      <c r="DR115" s="1527">
        <v>0</v>
      </c>
      <c r="DS115" s="1517">
        <v>210901635.35243958</v>
      </c>
      <c r="DT115" s="1527">
        <v>0</v>
      </c>
      <c r="DU115" s="1527">
        <v>216352775.38270634</v>
      </c>
      <c r="DV115" s="1527">
        <v>0</v>
      </c>
      <c r="DW115" s="1527">
        <v>183577416.27372268</v>
      </c>
      <c r="DX115" s="1527"/>
      <c r="DY115" s="1528">
        <v>182667271.55042797</v>
      </c>
      <c r="DZ115" s="1527"/>
      <c r="EA115" s="1528">
        <v>178612124.51726896</v>
      </c>
      <c r="EB115" s="1527"/>
      <c r="EC115" s="1528">
        <v>194179818.45818284</v>
      </c>
      <c r="ED115" s="1527"/>
      <c r="EE115" s="1528">
        <v>202057197.97234279</v>
      </c>
      <c r="EF115" s="1528"/>
      <c r="EG115" s="1528">
        <v>193816057.0349797</v>
      </c>
      <c r="EH115" s="1529">
        <v>210730369.34</v>
      </c>
      <c r="EI115" s="1529">
        <v>193021916.82652345</v>
      </c>
      <c r="EJ115" s="1529">
        <v>210730369.34</v>
      </c>
      <c r="EK115" s="1529">
        <v>190592588.73557529</v>
      </c>
      <c r="EL115" s="1529">
        <v>210730369.34</v>
      </c>
      <c r="EM115" s="1529">
        <v>191191375.79377961</v>
      </c>
      <c r="EN115" s="1529">
        <v>210730369.34</v>
      </c>
      <c r="EO115" s="1529">
        <v>193156920.12463307</v>
      </c>
      <c r="EP115" s="1529">
        <v>210730369.34</v>
      </c>
      <c r="EQ115" s="1529">
        <v>205657583.5133149</v>
      </c>
      <c r="ER115" s="1529">
        <v>210730369.34</v>
      </c>
      <c r="ES115" s="1529">
        <v>199924957.90180665</v>
      </c>
      <c r="ET115" s="1529">
        <v>210730369.34</v>
      </c>
      <c r="EU115" s="1529">
        <v>195574730</v>
      </c>
      <c r="EV115" s="1529">
        <v>210730369.34</v>
      </c>
      <c r="EW115" s="1529">
        <v>209858347</v>
      </c>
      <c r="EX115" s="1529">
        <v>210730369.34</v>
      </c>
      <c r="EY115" s="1529">
        <v>219280253</v>
      </c>
      <c r="EZ115" s="1529">
        <v>210730369.34</v>
      </c>
      <c r="FA115" s="1529">
        <v>191423663</v>
      </c>
      <c r="FB115" s="1529">
        <v>210730369.34</v>
      </c>
      <c r="FC115" s="1529">
        <v>198280854</v>
      </c>
      <c r="FD115" s="1529">
        <v>206055360</v>
      </c>
      <c r="FE115" s="1529">
        <v>191624826</v>
      </c>
      <c r="FF115" s="1529">
        <v>206055360</v>
      </c>
      <c r="FG115" s="1529">
        <v>191165845</v>
      </c>
      <c r="FH115" s="1529">
        <v>206055360</v>
      </c>
      <c r="FI115" s="1529">
        <v>189504630</v>
      </c>
      <c r="FJ115" s="1529">
        <v>206055360</v>
      </c>
      <c r="FK115" s="1529">
        <v>191108284</v>
      </c>
      <c r="FL115" s="1529">
        <v>206055360</v>
      </c>
      <c r="FM115" s="1529">
        <v>195597100</v>
      </c>
      <c r="FN115" s="1529">
        <v>206055360</v>
      </c>
      <c r="FO115" s="1530">
        <v>205059105</v>
      </c>
      <c r="FP115" s="1530">
        <v>206055360</v>
      </c>
      <c r="FQ115" s="1530">
        <v>196812815</v>
      </c>
      <c r="FR115" s="1530">
        <v>206055360</v>
      </c>
      <c r="FS115" s="1530">
        <v>193999239</v>
      </c>
      <c r="FT115" s="1531">
        <v>206055360</v>
      </c>
      <c r="FU115" s="1530">
        <v>193559274</v>
      </c>
      <c r="FV115" s="1531">
        <v>206055360</v>
      </c>
      <c r="FW115" s="1530">
        <v>192002682</v>
      </c>
      <c r="FX115" s="1531">
        <v>206055360</v>
      </c>
      <c r="FY115" s="1530">
        <v>187979422</v>
      </c>
      <c r="FZ115" s="1531">
        <v>206055360</v>
      </c>
      <c r="GA115" s="1530">
        <v>106470377</v>
      </c>
      <c r="GB115" s="1530"/>
      <c r="GC115" s="1529"/>
      <c r="GD115" s="1436" t="s">
        <v>1023</v>
      </c>
      <c r="GM115" s="1436" t="s">
        <v>1024</v>
      </c>
    </row>
    <row r="116" spans="1:195" s="1436" customFormat="1" outlineLevel="1">
      <c r="Q116" s="2327"/>
      <c r="R116" s="1515"/>
      <c r="S116" s="1499" t="s">
        <v>235</v>
      </c>
      <c r="T116" s="1517">
        <f t="shared" si="66"/>
        <v>1319984485.1033962</v>
      </c>
      <c r="U116" s="1517">
        <f>SUMIF(Z$99:$AO$99,$U$99,Z116:AO116)</f>
        <v>1075995953</v>
      </c>
      <c r="V116" s="1518">
        <v>230406116.2744846</v>
      </c>
      <c r="W116" s="1532">
        <f>'4-2) 관리비용 세부'!Q88</f>
        <v>215900888</v>
      </c>
      <c r="X116" s="1518">
        <v>206719230.28855091</v>
      </c>
      <c r="Y116" s="1532">
        <v>182262445</v>
      </c>
      <c r="Z116" s="1533">
        <v>139075082.66254309</v>
      </c>
      <c r="AA116" s="1532">
        <v>129032313</v>
      </c>
      <c r="AB116" s="1534">
        <v>103581648</v>
      </c>
      <c r="AC116" s="1532">
        <v>107192506</v>
      </c>
      <c r="AD116" s="1535">
        <v>116349860</v>
      </c>
      <c r="AE116" s="1532">
        <v>117054498</v>
      </c>
      <c r="AF116" s="1533">
        <v>163435903</v>
      </c>
      <c r="AG116" s="1532">
        <v>141192851</v>
      </c>
      <c r="AH116" s="1533">
        <v>198125035</v>
      </c>
      <c r="AI116" s="1532">
        <v>180238913</v>
      </c>
      <c r="AJ116" s="1533">
        <v>191951784.15230221</v>
      </c>
      <c r="AK116" s="1532">
        <v>159076610</v>
      </c>
      <c r="AL116" s="1533">
        <v>109343071</v>
      </c>
      <c r="AM116" s="1532">
        <v>137610612</v>
      </c>
      <c r="AN116" s="1533">
        <v>91402871</v>
      </c>
      <c r="AO116" s="1532">
        <v>104597650</v>
      </c>
      <c r="AP116" s="1533">
        <v>125277741</v>
      </c>
      <c r="AQ116" s="1532">
        <v>166681240</v>
      </c>
      <c r="AR116" s="1536">
        <v>183563889</v>
      </c>
      <c r="AS116" s="1532">
        <v>231315362</v>
      </c>
      <c r="AT116" s="1536">
        <v>182127079</v>
      </c>
      <c r="AU116" s="1537">
        <v>224653587</v>
      </c>
      <c r="AV116" s="1536">
        <v>147735457</v>
      </c>
      <c r="AW116" s="1537">
        <v>196721586</v>
      </c>
      <c r="AX116" s="1536">
        <v>102767206</v>
      </c>
      <c r="AY116" s="1537">
        <v>131817993</v>
      </c>
      <c r="AZ116" s="1536">
        <v>81100837</v>
      </c>
      <c r="BA116" s="1537">
        <v>98129632</v>
      </c>
      <c r="BB116" s="1536">
        <v>88711764</v>
      </c>
      <c r="BC116" s="1537">
        <v>109563128</v>
      </c>
      <c r="BD116" s="1536">
        <v>137693465</v>
      </c>
      <c r="BE116" s="1537">
        <v>153686121</v>
      </c>
      <c r="BF116" s="1536">
        <v>147968330</v>
      </c>
      <c r="BG116" s="1537">
        <v>186334813</v>
      </c>
      <c r="BH116" s="1536">
        <v>131164067</v>
      </c>
      <c r="BI116" s="1532">
        <v>184887095</v>
      </c>
      <c r="BJ116" s="1536">
        <v>96286451</v>
      </c>
      <c r="BK116" s="1532">
        <v>129095022.1236712</v>
      </c>
      <c r="BL116" s="1536">
        <v>80794578</v>
      </c>
      <c r="BM116" s="1537">
        <v>129095022.1236712</v>
      </c>
      <c r="BN116" s="1536">
        <v>102191652</v>
      </c>
      <c r="BO116" s="1532">
        <v>129095022.1236712</v>
      </c>
      <c r="BP116" s="1537">
        <v>150554344</v>
      </c>
      <c r="BQ116" s="1532">
        <v>129095022.1236712</v>
      </c>
      <c r="BR116" s="1537">
        <v>165115753</v>
      </c>
      <c r="BS116" s="1532">
        <v>174139116</v>
      </c>
      <c r="BT116" s="1537">
        <v>145762638</v>
      </c>
      <c r="BU116" s="1532">
        <v>77497073</v>
      </c>
      <c r="BV116" s="1537">
        <v>84780888</v>
      </c>
      <c r="BW116" s="1532">
        <v>98274773</v>
      </c>
      <c r="BX116" s="1517">
        <v>75921777.630746871</v>
      </c>
      <c r="BY116" s="1517">
        <v>77497073</v>
      </c>
      <c r="BZ116" s="1517">
        <v>83855186.915715978</v>
      </c>
      <c r="CA116" s="1517">
        <v>77497073</v>
      </c>
      <c r="CB116" s="1517">
        <v>109374102.56881231</v>
      </c>
      <c r="CC116" s="1517">
        <v>131313394</v>
      </c>
      <c r="CD116" s="1517">
        <v>101770027.81</v>
      </c>
      <c r="CE116" s="1517">
        <v>141242852</v>
      </c>
      <c r="CF116" s="1517">
        <v>101770027.81</v>
      </c>
      <c r="CG116" s="1517">
        <v>96582420</v>
      </c>
      <c r="CH116" s="1517">
        <v>101770027.81</v>
      </c>
      <c r="CI116" s="1517">
        <v>91936423</v>
      </c>
      <c r="CJ116" s="1527">
        <v>101770027.80999999</v>
      </c>
      <c r="CK116" s="1517">
        <v>77171610</v>
      </c>
      <c r="CL116" s="1527">
        <v>101770027.81</v>
      </c>
      <c r="CM116" s="1517">
        <v>96582420</v>
      </c>
      <c r="CN116" s="1527"/>
      <c r="CO116" s="1517">
        <v>138122108.20869991</v>
      </c>
      <c r="CP116" s="1527"/>
      <c r="CQ116" s="1517">
        <v>149498546.57294965</v>
      </c>
      <c r="CR116" s="1527"/>
      <c r="CS116" s="1517">
        <v>129095022.1236712</v>
      </c>
      <c r="CT116" s="1527"/>
      <c r="CU116" s="1517">
        <v>77813580.069889531</v>
      </c>
      <c r="CV116" s="1527"/>
      <c r="CW116" s="1517">
        <v>69213786.641269162</v>
      </c>
      <c r="CX116" s="1527"/>
      <c r="CY116" s="1517">
        <v>76153624.855050892</v>
      </c>
      <c r="CZ116" s="1527"/>
      <c r="DA116" s="1517">
        <v>99411304.460061565</v>
      </c>
      <c r="DB116" s="1527"/>
      <c r="DC116" s="1517">
        <v>124013996.98941387</v>
      </c>
      <c r="DD116" s="1527"/>
      <c r="DE116" s="1517">
        <v>117703736.59046665</v>
      </c>
      <c r="DF116" s="1527"/>
      <c r="DG116" s="1517">
        <v>90037534.581325695</v>
      </c>
      <c r="DH116" s="1527"/>
      <c r="DI116" s="1517">
        <v>70111366.898776039</v>
      </c>
      <c r="DJ116" s="1527"/>
      <c r="DK116" s="1517">
        <v>102414413.79627515</v>
      </c>
      <c r="DL116" s="1527">
        <v>0</v>
      </c>
      <c r="DM116" s="1517">
        <v>156897607.59098542</v>
      </c>
      <c r="DN116" s="1527">
        <v>0</v>
      </c>
      <c r="DO116" s="1517">
        <v>154047821.79664803</v>
      </c>
      <c r="DP116" s="1527">
        <v>0</v>
      </c>
      <c r="DQ116" s="1517">
        <v>137951237.87830305</v>
      </c>
      <c r="DR116" s="1527">
        <v>0</v>
      </c>
      <c r="DS116" s="1517">
        <v>88807058.887822017</v>
      </c>
      <c r="DT116" s="1527">
        <v>0</v>
      </c>
      <c r="DU116" s="1527">
        <v>70578229.617293656</v>
      </c>
      <c r="DV116" s="1527">
        <v>0</v>
      </c>
      <c r="DW116" s="1527">
        <v>82287680.726277322</v>
      </c>
      <c r="DX116" s="1527"/>
      <c r="DY116" s="1528">
        <v>110888231.73795556</v>
      </c>
      <c r="DZ116" s="1527"/>
      <c r="EA116" s="1528">
        <v>114141249.18437485</v>
      </c>
      <c r="EB116" s="1527"/>
      <c r="EC116" s="1528">
        <v>114942581.54181716</v>
      </c>
      <c r="ED116" s="1527"/>
      <c r="EE116" s="1528">
        <v>96031600.158821657</v>
      </c>
      <c r="EF116" s="1528"/>
      <c r="EG116" s="1528">
        <v>83619747.16789563</v>
      </c>
      <c r="EH116" s="1529">
        <v>127548364.833333</v>
      </c>
      <c r="EI116" s="1529">
        <v>107524246.02340624</v>
      </c>
      <c r="EJ116" s="1529">
        <v>127548364.833333</v>
      </c>
      <c r="EK116" s="1529">
        <v>162500830.77049726</v>
      </c>
      <c r="EL116" s="1529">
        <v>127548364.833333</v>
      </c>
      <c r="EM116" s="1529">
        <v>159864808.91234136</v>
      </c>
      <c r="EN116" s="1529">
        <v>127548364.833333</v>
      </c>
      <c r="EO116" s="1529">
        <v>137266571.19604295</v>
      </c>
      <c r="EP116" s="1529">
        <v>127548364.833333</v>
      </c>
      <c r="EQ116" s="1529">
        <v>100697293.70155667</v>
      </c>
      <c r="ER116" s="1529">
        <v>127548364.833333</v>
      </c>
      <c r="ES116" s="1529">
        <v>76979104.985639229</v>
      </c>
      <c r="ET116" s="1529">
        <v>127548364.833333</v>
      </c>
      <c r="EU116" s="1529">
        <v>86091252</v>
      </c>
      <c r="EV116" s="1529">
        <v>127548364.833333</v>
      </c>
      <c r="EW116" s="1529">
        <v>107644160</v>
      </c>
      <c r="EX116" s="1529">
        <v>127548364.833333</v>
      </c>
      <c r="EY116" s="1529">
        <v>128701837</v>
      </c>
      <c r="EZ116" s="1529">
        <v>127548364.833333</v>
      </c>
      <c r="FA116" s="1529">
        <v>136291200</v>
      </c>
      <c r="FB116" s="1529">
        <v>127548364.833333</v>
      </c>
      <c r="FC116" s="1529">
        <v>102146971</v>
      </c>
      <c r="FD116" s="1529">
        <v>153000000</v>
      </c>
      <c r="FE116" s="1529">
        <v>80048193</v>
      </c>
      <c r="FF116" s="1529">
        <v>153000000</v>
      </c>
      <c r="FG116" s="1529">
        <v>104044821</v>
      </c>
      <c r="FH116" s="1529">
        <v>153000000</v>
      </c>
      <c r="FI116" s="1529">
        <v>177783569</v>
      </c>
      <c r="FJ116" s="1529">
        <v>153000000</v>
      </c>
      <c r="FK116" s="1529">
        <v>176199714</v>
      </c>
      <c r="FL116" s="1529">
        <v>153000000</v>
      </c>
      <c r="FM116" s="1529">
        <v>148753878</v>
      </c>
      <c r="FN116" s="1529">
        <v>153000000</v>
      </c>
      <c r="FO116" s="1530">
        <v>105241395</v>
      </c>
      <c r="FP116" s="1530">
        <v>153000000</v>
      </c>
      <c r="FQ116" s="1530">
        <v>88578137</v>
      </c>
      <c r="FR116" s="1530">
        <v>153000000</v>
      </c>
      <c r="FS116" s="1530">
        <v>97955446</v>
      </c>
      <c r="FT116" s="1531">
        <v>153000000</v>
      </c>
      <c r="FU116" s="1530">
        <v>132425646</v>
      </c>
      <c r="FV116" s="1531">
        <v>153000000</v>
      </c>
      <c r="FW116" s="1530">
        <v>143917485</v>
      </c>
      <c r="FX116" s="1531">
        <v>153000000</v>
      </c>
      <c r="FY116" s="1530">
        <v>151246015</v>
      </c>
      <c r="FZ116" s="1531">
        <v>153000000</v>
      </c>
      <c r="GA116" s="1530">
        <v>124386079</v>
      </c>
      <c r="GB116" s="1530"/>
      <c r="GC116" s="1529"/>
      <c r="GD116" s="1436" t="s">
        <v>1025</v>
      </c>
      <c r="GE116" s="1515"/>
      <c r="GM116" s="1436" t="s">
        <v>1026</v>
      </c>
    </row>
    <row r="117" spans="1:195" s="1436" customFormat="1" outlineLevel="1">
      <c r="Q117" s="2327"/>
      <c r="R117" s="1515"/>
      <c r="S117" s="1538" t="s">
        <v>236</v>
      </c>
      <c r="T117" s="1517">
        <f t="shared" si="66"/>
        <v>108031238</v>
      </c>
      <c r="U117" s="1517">
        <f>SUMIF(Z$99:$AO$99,$U$99,Z117:AO117)</f>
        <v>33128981</v>
      </c>
      <c r="V117" s="1518">
        <v>9573300</v>
      </c>
      <c r="W117" s="1532">
        <f>'4-2) 관리비용 세부'!Q62</f>
        <v>1751317</v>
      </c>
      <c r="X117" s="1518">
        <v>23646300</v>
      </c>
      <c r="Y117" s="1532">
        <v>708722</v>
      </c>
      <c r="Z117" s="1539">
        <v>17421000</v>
      </c>
      <c r="AA117" s="1532">
        <v>1248382</v>
      </c>
      <c r="AB117" s="1534">
        <v>11027700</v>
      </c>
      <c r="AC117" s="1532">
        <v>0</v>
      </c>
      <c r="AD117" s="1540">
        <v>31914950</v>
      </c>
      <c r="AE117" s="1532">
        <v>22058845</v>
      </c>
      <c r="AF117" s="1539">
        <v>790800</v>
      </c>
      <c r="AG117" s="1532">
        <v>0</v>
      </c>
      <c r="AH117" s="1539">
        <v>1245300</v>
      </c>
      <c r="AI117" s="1532">
        <v>789155</v>
      </c>
      <c r="AJ117" s="1539">
        <v>7247864</v>
      </c>
      <c r="AK117" s="1532">
        <v>4295145</v>
      </c>
      <c r="AL117" s="1533">
        <v>7247864</v>
      </c>
      <c r="AM117" s="1532">
        <v>4628859</v>
      </c>
      <c r="AN117" s="1533">
        <v>7489460</v>
      </c>
      <c r="AO117" s="1532">
        <v>108595</v>
      </c>
      <c r="AP117" s="1533">
        <v>14031177</v>
      </c>
      <c r="AQ117" s="1532">
        <v>46447796</v>
      </c>
      <c r="AR117" s="1536">
        <v>14498883</v>
      </c>
      <c r="AS117" s="1532">
        <v>212465</v>
      </c>
      <c r="AT117" s="1536">
        <v>14498883</v>
      </c>
      <c r="AU117" s="1537">
        <v>9863223</v>
      </c>
      <c r="AV117" s="1536">
        <v>14031177</v>
      </c>
      <c r="AW117" s="1537">
        <v>1708824</v>
      </c>
      <c r="AX117" s="1536">
        <v>14498883</v>
      </c>
      <c r="AY117" s="1537">
        <v>24167417</v>
      </c>
      <c r="AZ117" s="1536">
        <v>14031177</v>
      </c>
      <c r="BA117" s="1537">
        <v>3687648</v>
      </c>
      <c r="BB117" s="1536">
        <v>14498883</v>
      </c>
      <c r="BC117" s="1537">
        <v>24722113</v>
      </c>
      <c r="BD117" s="1536">
        <v>13095765</v>
      </c>
      <c r="BE117" s="1537">
        <v>1114415</v>
      </c>
      <c r="BF117" s="1536">
        <v>14175918</v>
      </c>
      <c r="BG117" s="1537">
        <v>473493</v>
      </c>
      <c r="BH117" s="1536">
        <v>14175918</v>
      </c>
      <c r="BI117" s="1532">
        <v>1544923</v>
      </c>
      <c r="BJ117" s="1536">
        <v>13718630</v>
      </c>
      <c r="BK117" s="1532">
        <v>7931204.2723471476</v>
      </c>
      <c r="BL117" s="1536">
        <v>14175918</v>
      </c>
      <c r="BM117" s="1537">
        <v>7931204.2723471476</v>
      </c>
      <c r="BN117" s="1536">
        <v>2035383</v>
      </c>
      <c r="BO117" s="1532">
        <v>7931204.2723471476</v>
      </c>
      <c r="BP117" s="1537">
        <v>2103229</v>
      </c>
      <c r="BQ117" s="1532">
        <v>7931204.2723471476</v>
      </c>
      <c r="BR117" s="1537">
        <v>2103229</v>
      </c>
      <c r="BS117" s="1532">
        <v>151761</v>
      </c>
      <c r="BT117" s="1537">
        <v>2035383</v>
      </c>
      <c r="BU117" s="1532">
        <v>242817</v>
      </c>
      <c r="BV117" s="1537">
        <v>2103229</v>
      </c>
      <c r="BW117" s="1532">
        <v>450729</v>
      </c>
      <c r="BX117" s="1517">
        <v>2035383.2876712331</v>
      </c>
      <c r="BY117" s="1517">
        <v>242817</v>
      </c>
      <c r="BZ117" s="1517">
        <v>2103229.3972602743</v>
      </c>
      <c r="CA117" s="1517">
        <v>242817</v>
      </c>
      <c r="CB117" s="1517">
        <v>260550</v>
      </c>
      <c r="CC117" s="1517">
        <v>291380</v>
      </c>
      <c r="CD117" s="1517">
        <v>2788219.94</v>
      </c>
      <c r="CE117" s="1517">
        <v>450000</v>
      </c>
      <c r="CF117" s="1517">
        <v>2788219.94</v>
      </c>
      <c r="CG117" s="1517">
        <v>2130718</v>
      </c>
      <c r="CH117" s="1517">
        <v>2788219.94</v>
      </c>
      <c r="CI117" s="1517">
        <v>6930352</v>
      </c>
      <c r="CJ117" s="1527">
        <v>2788219.94</v>
      </c>
      <c r="CK117" s="1517">
        <v>3345894</v>
      </c>
      <c r="CL117" s="1527">
        <v>2788219.94</v>
      </c>
      <c r="CM117" s="1517">
        <v>2130718</v>
      </c>
      <c r="CN117" s="1527"/>
      <c r="CO117" s="1517">
        <v>2417958.4951236276</v>
      </c>
      <c r="CP117" s="1527"/>
      <c r="CQ117" s="1517">
        <v>7931204.2723471476</v>
      </c>
      <c r="CR117" s="1527"/>
      <c r="CS117" s="1517">
        <v>5114316.1998760728</v>
      </c>
      <c r="CT117" s="1527"/>
      <c r="CU117" s="1517">
        <v>1831750.0354076198</v>
      </c>
      <c r="CV117" s="1527"/>
      <c r="CW117" s="1517">
        <v>1628087.3554144946</v>
      </c>
      <c r="CX117" s="1527"/>
      <c r="CY117" s="1517">
        <v>60704.226525521786</v>
      </c>
      <c r="CZ117" s="1527"/>
      <c r="DA117" s="1517">
        <v>5759859.2546693515</v>
      </c>
      <c r="DB117" s="1527"/>
      <c r="DC117" s="1517">
        <v>30352.113262760893</v>
      </c>
      <c r="DD117" s="1527"/>
      <c r="DE117" s="1517">
        <v>847916.20487479528</v>
      </c>
      <c r="DF117" s="1527"/>
      <c r="DG117" s="1517">
        <v>2153482.4359928854</v>
      </c>
      <c r="DH117" s="1527"/>
      <c r="DI117" s="1517">
        <v>589943.66854292201</v>
      </c>
      <c r="DJ117" s="1527">
        <v>13944640</v>
      </c>
      <c r="DK117" s="1517">
        <v>1857549.3316809668</v>
      </c>
      <c r="DL117" s="1527">
        <v>13944640</v>
      </c>
      <c r="DM117" s="1517">
        <v>0</v>
      </c>
      <c r="DN117" s="1527">
        <v>13944640</v>
      </c>
      <c r="DO117" s="1517">
        <v>1490288.7612015598</v>
      </c>
      <c r="DP117" s="1527">
        <v>0</v>
      </c>
      <c r="DQ117" s="1517">
        <v>2217221.8738446832</v>
      </c>
      <c r="DR117" s="1527">
        <v>0</v>
      </c>
      <c r="DS117" s="1517">
        <v>685956.75973839615</v>
      </c>
      <c r="DT117" s="1527">
        <v>0</v>
      </c>
      <c r="DU117" s="1527">
        <v>1725380</v>
      </c>
      <c r="DV117" s="1527">
        <v>0</v>
      </c>
      <c r="DW117" s="1527">
        <v>0</v>
      </c>
      <c r="DX117" s="1527"/>
      <c r="DY117" s="1528">
        <v>5507503.7116164286</v>
      </c>
      <c r="DZ117" s="1527"/>
      <c r="EA117" s="1528">
        <v>5533549.2983561475</v>
      </c>
      <c r="EB117" s="1527"/>
      <c r="EC117" s="1528">
        <v>3813540</v>
      </c>
      <c r="ED117" s="1527"/>
      <c r="EE117" s="1528">
        <v>2828809.8688355545</v>
      </c>
      <c r="EF117" s="1528"/>
      <c r="EG117" s="1528">
        <v>7862616.7971246606</v>
      </c>
      <c r="EH117" s="1529">
        <v>6935774.3333333302</v>
      </c>
      <c r="EI117" s="1529">
        <v>9983107.4860009253</v>
      </c>
      <c r="EJ117" s="1529">
        <v>6935774.3333333302</v>
      </c>
      <c r="EK117" s="1529">
        <v>16672964.917497311</v>
      </c>
      <c r="EL117" s="1529">
        <v>6935774.3333333302</v>
      </c>
      <c r="EM117" s="1529">
        <v>678171.29387902026</v>
      </c>
      <c r="EN117" s="1529">
        <v>6935774.3333333302</v>
      </c>
      <c r="EO117" s="1529">
        <v>458314.67932398099</v>
      </c>
      <c r="EP117" s="1529">
        <v>6935774.3333333302</v>
      </c>
      <c r="EQ117" s="1529">
        <v>15166757.587012533</v>
      </c>
      <c r="ER117" s="1529">
        <v>6935774.3333333302</v>
      </c>
      <c r="ES117" s="1529">
        <v>13994717.914438238</v>
      </c>
      <c r="ET117" s="1529">
        <v>6935774.3333333302</v>
      </c>
      <c r="EU117" s="1529">
        <v>1173555</v>
      </c>
      <c r="EV117" s="1529">
        <v>6935774.3333333302</v>
      </c>
      <c r="EW117" s="1529">
        <v>3593443</v>
      </c>
      <c r="EX117" s="1529">
        <v>6935774.3333333302</v>
      </c>
      <c r="EY117" s="1529">
        <v>3966434</v>
      </c>
      <c r="EZ117" s="1529">
        <v>6935774.3333333302</v>
      </c>
      <c r="FA117" s="1529">
        <v>2687977</v>
      </c>
      <c r="FB117" s="1529">
        <v>6935774.3333333302</v>
      </c>
      <c r="FC117" s="1529">
        <v>3838788</v>
      </c>
      <c r="FD117" s="1529">
        <v>3000000</v>
      </c>
      <c r="FE117" s="1529">
        <v>2858523</v>
      </c>
      <c r="FF117" s="1529">
        <v>3000000</v>
      </c>
      <c r="FG117" s="1529">
        <v>8664911</v>
      </c>
      <c r="FH117" s="1529">
        <v>3000000</v>
      </c>
      <c r="FI117" s="1529">
        <v>16550231</v>
      </c>
      <c r="FJ117" s="1529">
        <v>3000000</v>
      </c>
      <c r="FK117" s="1529">
        <v>2460544</v>
      </c>
      <c r="FL117" s="1529">
        <v>3000000</v>
      </c>
      <c r="FM117" s="1529">
        <v>13819888</v>
      </c>
      <c r="FN117" s="1529">
        <v>3000000</v>
      </c>
      <c r="FO117" s="1530">
        <v>14443671</v>
      </c>
      <c r="FP117" s="1530">
        <v>3000000</v>
      </c>
      <c r="FQ117" s="1530">
        <v>15441253</v>
      </c>
      <c r="FR117" s="1530">
        <v>3000000</v>
      </c>
      <c r="FS117" s="1530">
        <v>2087730</v>
      </c>
      <c r="FT117" s="1531">
        <v>3000000</v>
      </c>
      <c r="FU117" s="1530">
        <v>4743443</v>
      </c>
      <c r="FV117" s="1531">
        <v>3000000</v>
      </c>
      <c r="FW117" s="1530">
        <v>576164</v>
      </c>
      <c r="FX117" s="1531">
        <v>3000000</v>
      </c>
      <c r="FY117" s="1530">
        <v>1031030</v>
      </c>
      <c r="FZ117" s="1531">
        <v>3000000</v>
      </c>
      <c r="GA117" s="1530">
        <v>551904</v>
      </c>
      <c r="GB117" s="1530"/>
      <c r="GC117" s="1529"/>
      <c r="GD117" s="1436" t="s">
        <v>1027</v>
      </c>
      <c r="GE117" s="1515"/>
      <c r="GM117" s="1436" t="s">
        <v>1026</v>
      </c>
    </row>
    <row r="118" spans="1:195" s="1515" customFormat="1" outlineLevel="1">
      <c r="Q118" s="2327"/>
      <c r="S118" s="1541"/>
      <c r="T118" s="1482">
        <f t="shared" si="66"/>
        <v>0</v>
      </c>
      <c r="U118" s="1482">
        <f>SUMIF(Z$99:$AO$99,$U$99,Z118:AO118)</f>
        <v>0</v>
      </c>
      <c r="V118" s="1483"/>
      <c r="W118" s="1484"/>
      <c r="X118" s="1483"/>
      <c r="Y118" s="1484"/>
      <c r="Z118" s="1542"/>
      <c r="AA118" s="1543"/>
      <c r="AB118" s="1544"/>
      <c r="AC118" s="1543"/>
      <c r="AD118" s="1544"/>
      <c r="AE118" s="1543"/>
      <c r="AF118" s="1542"/>
      <c r="AG118" s="1543"/>
      <c r="AH118" s="1542"/>
      <c r="AI118" s="1543"/>
      <c r="AJ118" s="1542"/>
      <c r="AK118" s="1543"/>
      <c r="AL118" s="1542"/>
      <c r="AM118" s="1543"/>
      <c r="AN118" s="1542"/>
      <c r="AO118" s="1543"/>
      <c r="AP118" s="1542"/>
      <c r="AQ118" s="1543"/>
      <c r="AR118" s="1529"/>
      <c r="AS118" s="1543"/>
      <c r="AT118" s="1529"/>
      <c r="AU118" s="1529"/>
      <c r="AV118" s="1529"/>
      <c r="AW118" s="1529"/>
      <c r="AX118" s="1529"/>
      <c r="AY118" s="1529"/>
      <c r="AZ118" s="1529"/>
      <c r="BA118" s="1529"/>
      <c r="BB118" s="1529"/>
      <c r="BC118" s="1529"/>
      <c r="BD118" s="1529"/>
      <c r="BE118" s="1529"/>
      <c r="BF118" s="1529"/>
      <c r="BG118" s="1529"/>
      <c r="BH118" s="1529"/>
      <c r="BI118" s="1543"/>
      <c r="BJ118" s="1529"/>
      <c r="BK118" s="1543"/>
      <c r="BL118" s="1529"/>
      <c r="BM118" s="1529"/>
      <c r="BN118" s="1529"/>
      <c r="BO118" s="1543"/>
      <c r="BP118" s="1529"/>
      <c r="BQ118" s="1543"/>
      <c r="BR118" s="1529"/>
      <c r="BS118" s="1543"/>
      <c r="BT118" s="1529"/>
      <c r="BU118" s="1543"/>
      <c r="BV118" s="1529"/>
      <c r="BW118" s="1543"/>
      <c r="BX118" s="1527"/>
      <c r="BY118" s="1527"/>
      <c r="BZ118" s="1527"/>
      <c r="CA118" s="1527"/>
      <c r="CB118" s="1527"/>
      <c r="CC118" s="1527"/>
      <c r="CD118" s="1527"/>
      <c r="CE118" s="1527"/>
      <c r="CF118" s="1527"/>
      <c r="CG118" s="1527"/>
      <c r="CH118" s="1527"/>
      <c r="CI118" s="1527"/>
      <c r="CJ118" s="1527"/>
      <c r="CK118" s="1527"/>
      <c r="CL118" s="1527"/>
      <c r="CM118" s="1527"/>
      <c r="CN118" s="1527"/>
      <c r="CO118" s="1527"/>
      <c r="CP118" s="1527"/>
      <c r="CQ118" s="1527"/>
      <c r="CR118" s="1472"/>
      <c r="CS118" s="1527"/>
      <c r="CT118" s="1472"/>
      <c r="CU118" s="1527"/>
      <c r="CV118" s="1527"/>
      <c r="CW118" s="1527"/>
      <c r="CX118" s="1527"/>
      <c r="CY118" s="1527"/>
      <c r="CZ118" s="1527"/>
      <c r="DA118" s="1527"/>
      <c r="DB118" s="1527"/>
      <c r="DC118" s="1527"/>
      <c r="DD118" s="1527"/>
      <c r="DE118" s="1527"/>
      <c r="DF118" s="1527"/>
      <c r="DG118" s="1527"/>
      <c r="DH118" s="1527"/>
      <c r="DI118" s="1527"/>
      <c r="DJ118" s="1527"/>
      <c r="DK118" s="1482"/>
      <c r="DL118" s="1527"/>
      <c r="DM118" s="1482"/>
      <c r="DN118" s="1527"/>
      <c r="DO118" s="1482"/>
      <c r="DP118" s="1527"/>
      <c r="DQ118" s="1482"/>
      <c r="DR118" s="1527"/>
      <c r="DS118" s="1482"/>
      <c r="DT118" s="1472"/>
      <c r="DU118" s="1472"/>
      <c r="DV118" s="1472"/>
      <c r="DW118" s="1472"/>
      <c r="DX118" s="1472"/>
      <c r="DY118" s="1472"/>
      <c r="DZ118" s="1472"/>
      <c r="EA118" s="1472"/>
      <c r="EB118" s="1472"/>
      <c r="EC118" s="1472"/>
      <c r="ED118" s="1472"/>
      <c r="EE118" s="1472"/>
      <c r="EF118" s="1528"/>
      <c r="EG118" s="1528"/>
      <c r="EH118" s="1529"/>
      <c r="EI118" s="1529"/>
      <c r="EJ118" s="1529"/>
      <c r="EK118" s="1529"/>
      <c r="EL118" s="1529"/>
      <c r="EM118" s="1529"/>
      <c r="EN118" s="1529"/>
      <c r="EO118" s="1529"/>
      <c r="EP118" s="1529"/>
      <c r="EQ118" s="1529"/>
      <c r="ER118" s="1529"/>
      <c r="ES118" s="1529"/>
      <c r="ET118" s="1529"/>
      <c r="EU118" s="1529"/>
      <c r="EV118" s="1529"/>
      <c r="EW118" s="1529"/>
      <c r="EX118" s="1529"/>
      <c r="EY118" s="1529"/>
      <c r="EZ118" s="1529"/>
      <c r="FA118" s="1529"/>
      <c r="FB118" s="1529"/>
      <c r="FC118" s="1529"/>
      <c r="FD118" s="1529"/>
      <c r="FE118" s="1529"/>
      <c r="FF118" s="1529"/>
      <c r="FG118" s="1529"/>
      <c r="FH118" s="1529"/>
      <c r="FI118" s="1529"/>
      <c r="FJ118" s="1529"/>
      <c r="FK118" s="1529"/>
      <c r="FL118" s="1529"/>
      <c r="FM118" s="1529"/>
      <c r="FN118" s="1529"/>
      <c r="FO118" s="1530"/>
      <c r="FP118" s="1530"/>
      <c r="FQ118" s="1530"/>
      <c r="FR118" s="1530"/>
      <c r="FS118" s="1530"/>
      <c r="FT118" s="1531"/>
      <c r="FU118" s="1530"/>
      <c r="FV118" s="1531"/>
      <c r="FW118" s="1530"/>
      <c r="FX118" s="1531"/>
      <c r="FY118" s="1530"/>
      <c r="FZ118" s="1531"/>
      <c r="GA118" s="1530"/>
      <c r="GB118" s="1530"/>
      <c r="GC118" s="1529"/>
      <c r="GD118" s="1436"/>
    </row>
    <row r="119" spans="1:195" s="1515" customFormat="1" outlineLevel="1">
      <c r="Q119" s="2327"/>
      <c r="R119" s="1006">
        <v>12</v>
      </c>
      <c r="S119" s="1545" t="s">
        <v>1028</v>
      </c>
      <c r="T119" s="1482">
        <f t="shared" si="66"/>
        <v>125501760</v>
      </c>
      <c r="U119" s="1482">
        <f>SUMIF(Z$99:$AO$99,$U$99,Z119:AO119)</f>
        <v>111557120</v>
      </c>
      <c r="V119" s="1483">
        <v>13944640</v>
      </c>
      <c r="W119" s="1484">
        <f>'3-2) 손익계산서(월간)'!D16</f>
        <v>13944640</v>
      </c>
      <c r="X119" s="1483">
        <v>13944640</v>
      </c>
      <c r="Y119" s="1484">
        <v>13944640</v>
      </c>
      <c r="Z119" s="1495">
        <v>13944640</v>
      </c>
      <c r="AA119" s="1474">
        <v>13944640</v>
      </c>
      <c r="AB119" s="1476">
        <v>13944640</v>
      </c>
      <c r="AC119" s="1474">
        <v>13944640</v>
      </c>
      <c r="AD119" s="1476">
        <v>13944640</v>
      </c>
      <c r="AE119" s="1474">
        <v>13944640</v>
      </c>
      <c r="AF119" s="1495">
        <v>13944640</v>
      </c>
      <c r="AG119" s="1474">
        <v>13944640</v>
      </c>
      <c r="AH119" s="1495">
        <v>13944640</v>
      </c>
      <c r="AI119" s="1474">
        <v>13944640</v>
      </c>
      <c r="AJ119" s="1495">
        <v>13944640</v>
      </c>
      <c r="AK119" s="1474">
        <v>13944640</v>
      </c>
      <c r="AL119" s="1495">
        <v>13944640</v>
      </c>
      <c r="AM119" s="1474">
        <v>13944640</v>
      </c>
      <c r="AN119" s="1495">
        <v>13944640</v>
      </c>
      <c r="AO119" s="1474">
        <v>13944640</v>
      </c>
      <c r="AP119" s="1495">
        <v>13944640</v>
      </c>
      <c r="AQ119" s="1474">
        <v>13944640</v>
      </c>
      <c r="AR119" s="1479">
        <v>13944640</v>
      </c>
      <c r="AS119" s="1474">
        <v>13944640</v>
      </c>
      <c r="AT119" s="1479">
        <v>13944640</v>
      </c>
      <c r="AU119" s="1479">
        <v>13944640</v>
      </c>
      <c r="AV119" s="1479">
        <v>13944640</v>
      </c>
      <c r="AW119" s="1479">
        <v>13944640</v>
      </c>
      <c r="AX119" s="1479">
        <v>13944640</v>
      </c>
      <c r="AY119" s="1479">
        <v>13944640</v>
      </c>
      <c r="AZ119" s="1479">
        <v>13944640</v>
      </c>
      <c r="BA119" s="1479">
        <v>13944640</v>
      </c>
      <c r="BB119" s="1479">
        <v>13944640</v>
      </c>
      <c r="BC119" s="1479">
        <v>13944640</v>
      </c>
      <c r="BD119" s="1479">
        <v>13944640</v>
      </c>
      <c r="BE119" s="1479">
        <v>13944640</v>
      </c>
      <c r="BF119" s="1479">
        <v>13944640</v>
      </c>
      <c r="BG119" s="1479">
        <v>13944640</v>
      </c>
      <c r="BH119" s="1479">
        <v>13944640</v>
      </c>
      <c r="BI119" s="1474">
        <v>13944640</v>
      </c>
      <c r="BJ119" s="1479">
        <v>13944640</v>
      </c>
      <c r="BK119" s="1474">
        <v>13944640</v>
      </c>
      <c r="BL119" s="1479">
        <v>13944640</v>
      </c>
      <c r="BM119" s="1479">
        <v>13944640</v>
      </c>
      <c r="BN119" s="1479">
        <v>13944640</v>
      </c>
      <c r="BO119" s="1474">
        <v>13944640</v>
      </c>
      <c r="BP119" s="1479">
        <v>13944640</v>
      </c>
      <c r="BQ119" s="1474">
        <v>13944640</v>
      </c>
      <c r="BR119" s="1479">
        <v>13944640</v>
      </c>
      <c r="BS119" s="1474">
        <v>13944640</v>
      </c>
      <c r="BT119" s="1479">
        <v>13944640</v>
      </c>
      <c r="BU119" s="1474">
        <v>13944640</v>
      </c>
      <c r="BV119" s="1479">
        <v>13944640</v>
      </c>
      <c r="BW119" s="1474">
        <v>13944640</v>
      </c>
      <c r="BX119" s="1496">
        <v>13944640</v>
      </c>
      <c r="BY119" s="1472">
        <v>13944640</v>
      </c>
      <c r="BZ119" s="1472">
        <v>13944640</v>
      </c>
      <c r="CA119" s="1472">
        <v>13944640</v>
      </c>
      <c r="CB119" s="1472">
        <v>13944640</v>
      </c>
      <c r="CC119" s="1472">
        <v>13944640</v>
      </c>
      <c r="CD119" s="1472">
        <v>13944640</v>
      </c>
      <c r="CE119" s="1472">
        <v>13944640</v>
      </c>
      <c r="CF119" s="1472">
        <v>13944640</v>
      </c>
      <c r="CG119" s="1482">
        <v>18744640</v>
      </c>
      <c r="CH119" s="1472">
        <v>13944640</v>
      </c>
      <c r="CI119" s="1482">
        <v>13944640</v>
      </c>
      <c r="CJ119" s="1472">
        <v>13944640</v>
      </c>
      <c r="CK119" s="1482">
        <v>13944640</v>
      </c>
      <c r="CL119" s="1472">
        <v>13944640</v>
      </c>
      <c r="CM119" s="1482">
        <v>13944640</v>
      </c>
      <c r="CN119" s="1472">
        <v>13944640</v>
      </c>
      <c r="CO119" s="1482">
        <v>13944640</v>
      </c>
      <c r="CP119" s="1472">
        <v>13944640</v>
      </c>
      <c r="CQ119" s="1482">
        <v>13944640</v>
      </c>
      <c r="CR119" s="1472">
        <v>13944640</v>
      </c>
      <c r="CS119" s="1482">
        <v>13944640</v>
      </c>
      <c r="CT119" s="1472">
        <v>13944640</v>
      </c>
      <c r="CU119" s="1482">
        <v>13944640</v>
      </c>
      <c r="CV119" s="1472">
        <v>13944640</v>
      </c>
      <c r="CW119" s="1482">
        <v>13944640</v>
      </c>
      <c r="CX119" s="1472">
        <v>13944640</v>
      </c>
      <c r="CY119" s="1482">
        <v>13944640</v>
      </c>
      <c r="CZ119" s="1472">
        <v>13944640</v>
      </c>
      <c r="DA119" s="1482">
        <v>13944640</v>
      </c>
      <c r="DB119" s="1472">
        <v>13944640</v>
      </c>
      <c r="DC119" s="1482">
        <v>13944640</v>
      </c>
      <c r="DD119" s="1472">
        <v>13944640</v>
      </c>
      <c r="DE119" s="1482">
        <v>13944640</v>
      </c>
      <c r="DF119" s="1472">
        <v>13944640</v>
      </c>
      <c r="DG119" s="1482">
        <v>13944640</v>
      </c>
      <c r="DH119" s="1472">
        <v>13944640</v>
      </c>
      <c r="DI119" s="1482">
        <v>13944640</v>
      </c>
      <c r="DJ119" s="1472">
        <v>13944640</v>
      </c>
      <c r="DK119" s="1482">
        <v>13944640</v>
      </c>
      <c r="DL119" s="1472">
        <v>13944640</v>
      </c>
      <c r="DM119" s="1482">
        <v>13944640</v>
      </c>
      <c r="DN119" s="1472">
        <v>13944640</v>
      </c>
      <c r="DO119" s="1482">
        <v>13944640</v>
      </c>
      <c r="DP119" s="1472">
        <v>13944640</v>
      </c>
      <c r="DQ119" s="1482">
        <v>13944640</v>
      </c>
      <c r="DR119" s="1472">
        <v>13944640</v>
      </c>
      <c r="DS119" s="1482">
        <v>13944640</v>
      </c>
      <c r="DT119" s="1472">
        <v>13944640</v>
      </c>
      <c r="DU119" s="1472">
        <v>13944640</v>
      </c>
      <c r="DV119" s="1472">
        <v>13944640</v>
      </c>
      <c r="DW119" s="1472">
        <v>13944640</v>
      </c>
      <c r="DX119" s="1472">
        <v>13944640</v>
      </c>
      <c r="DY119" s="1492">
        <v>13944640</v>
      </c>
      <c r="DZ119" s="1472">
        <v>13944640</v>
      </c>
      <c r="EA119" s="1492">
        <v>13944640</v>
      </c>
      <c r="EB119" s="1472">
        <v>13944640</v>
      </c>
      <c r="EC119" s="1492">
        <v>13944640</v>
      </c>
      <c r="ED119" s="1472">
        <v>13944640</v>
      </c>
      <c r="EE119" s="1492">
        <v>13944640</v>
      </c>
      <c r="EF119" s="1492">
        <v>13944640</v>
      </c>
      <c r="EG119" s="1492">
        <v>13944640</v>
      </c>
      <c r="EH119" s="1479">
        <v>13944640</v>
      </c>
      <c r="EI119" s="1479">
        <v>13944640</v>
      </c>
      <c r="EJ119" s="1479">
        <v>13944640</v>
      </c>
      <c r="EK119" s="1479">
        <v>13944640</v>
      </c>
      <c r="EL119" s="1479">
        <v>13944640</v>
      </c>
      <c r="EM119" s="1479">
        <v>13944640</v>
      </c>
      <c r="EN119" s="1479">
        <v>13944640</v>
      </c>
      <c r="EO119" s="1479">
        <v>13944640</v>
      </c>
      <c r="EP119" s="1479">
        <v>13944640</v>
      </c>
      <c r="EQ119" s="1479">
        <v>13944640</v>
      </c>
      <c r="ER119" s="1479">
        <v>13944640</v>
      </c>
      <c r="ES119" s="1479">
        <v>13944640</v>
      </c>
      <c r="ET119" s="1479">
        <v>13944640</v>
      </c>
      <c r="EU119" s="1479">
        <v>13944640</v>
      </c>
      <c r="EV119" s="1479">
        <v>13944640</v>
      </c>
      <c r="EW119" s="1479">
        <v>13944640</v>
      </c>
      <c r="EX119" s="1479">
        <v>13944640</v>
      </c>
      <c r="EY119" s="1479">
        <v>13944640</v>
      </c>
      <c r="EZ119" s="1479">
        <v>13944640</v>
      </c>
      <c r="FA119" s="1479">
        <v>13944640</v>
      </c>
      <c r="FB119" s="1479">
        <v>13944640</v>
      </c>
      <c r="FC119" s="1479">
        <v>13944640</v>
      </c>
      <c r="FD119" s="1479">
        <v>13944640</v>
      </c>
      <c r="FE119" s="1479">
        <v>13944640</v>
      </c>
      <c r="FF119" s="1479">
        <v>13944640</v>
      </c>
      <c r="FG119" s="1479">
        <v>13944640</v>
      </c>
      <c r="FH119" s="1479">
        <v>13944640</v>
      </c>
      <c r="FI119" s="1479">
        <v>13944640</v>
      </c>
      <c r="FJ119" s="1479">
        <v>13944640</v>
      </c>
      <c r="FK119" s="1479">
        <v>13944640</v>
      </c>
      <c r="FL119" s="1479">
        <v>13944640</v>
      </c>
      <c r="FM119" s="1479">
        <v>13944640</v>
      </c>
      <c r="FN119" s="1479">
        <v>13944640</v>
      </c>
      <c r="FO119" s="1493">
        <v>13944640</v>
      </c>
      <c r="FP119" s="1493">
        <v>13944640</v>
      </c>
      <c r="FQ119" s="1493">
        <v>13944640</v>
      </c>
      <c r="FR119" s="1493">
        <v>13944640</v>
      </c>
      <c r="FS119" s="1493">
        <v>41833920</v>
      </c>
      <c r="FT119" s="1493">
        <v>13944640</v>
      </c>
      <c r="FU119" s="1493">
        <v>0</v>
      </c>
      <c r="FV119" s="1493">
        <v>13944640</v>
      </c>
      <c r="FW119" s="1493">
        <v>0</v>
      </c>
      <c r="FX119" s="1494">
        <v>13944640</v>
      </c>
      <c r="FY119" s="1493">
        <v>21305749</v>
      </c>
      <c r="FZ119" s="1494">
        <v>13944640</v>
      </c>
      <c r="GA119" s="1493">
        <v>0</v>
      </c>
      <c r="GB119" s="1493"/>
      <c r="GC119" s="1479"/>
      <c r="GD119" s="1425" t="s">
        <v>1029</v>
      </c>
      <c r="GE119" s="1006"/>
    </row>
    <row r="120" spans="1:195" s="1515" customFormat="1" outlineLevel="1">
      <c r="Q120" s="2327"/>
      <c r="R120" s="1006"/>
      <c r="S120" s="1545"/>
      <c r="T120" s="1482">
        <f t="shared" si="66"/>
        <v>0</v>
      </c>
      <c r="U120" s="1482">
        <f>SUMIF(Z$99:$AO$99,$U$99,Z120:AO120)</f>
        <v>0</v>
      </c>
      <c r="V120" s="1483"/>
      <c r="W120" s="1484"/>
      <c r="X120" s="1483"/>
      <c r="Y120" s="1484"/>
      <c r="Z120" s="1495"/>
      <c r="AA120" s="1474"/>
      <c r="AB120" s="1476"/>
      <c r="AC120" s="1474"/>
      <c r="AD120" s="1476"/>
      <c r="AE120" s="1474">
        <v>0</v>
      </c>
      <c r="AF120" s="1495"/>
      <c r="AG120" s="1474">
        <v>0</v>
      </c>
      <c r="AH120" s="1495"/>
      <c r="AI120" s="1474">
        <v>0</v>
      </c>
      <c r="AJ120" s="1495"/>
      <c r="AK120" s="1474"/>
      <c r="AL120" s="1495"/>
      <c r="AM120" s="1474"/>
      <c r="AN120" s="1495"/>
      <c r="AO120" s="1474"/>
      <c r="AP120" s="1495"/>
      <c r="AQ120" s="1474"/>
      <c r="AR120" s="1479"/>
      <c r="AS120" s="1474"/>
      <c r="AT120" s="1479"/>
      <c r="AU120" s="1479"/>
      <c r="AV120" s="1479"/>
      <c r="AW120" s="1479"/>
      <c r="AX120" s="1479"/>
      <c r="AY120" s="1479"/>
      <c r="AZ120" s="1479"/>
      <c r="BA120" s="1479"/>
      <c r="BB120" s="1479"/>
      <c r="BC120" s="1479"/>
      <c r="BD120" s="1479"/>
      <c r="BE120" s="1479"/>
      <c r="BF120" s="1479"/>
      <c r="BG120" s="1479"/>
      <c r="BH120" s="1479"/>
      <c r="BI120" s="1474"/>
      <c r="BJ120" s="1479"/>
      <c r="BK120" s="1474"/>
      <c r="BL120" s="1479"/>
      <c r="BM120" s="1479"/>
      <c r="BN120" s="1479"/>
      <c r="BO120" s="1474"/>
      <c r="BP120" s="1479"/>
      <c r="BQ120" s="1474"/>
      <c r="BR120" s="1479"/>
      <c r="BS120" s="1474"/>
      <c r="BT120" s="1479"/>
      <c r="BU120" s="1474"/>
      <c r="BV120" s="1479"/>
      <c r="BW120" s="1474"/>
      <c r="BX120" s="1496"/>
      <c r="BY120" s="1472"/>
      <c r="BZ120" s="1472"/>
      <c r="CA120" s="1472"/>
      <c r="CB120" s="1472"/>
      <c r="CC120" s="1472"/>
      <c r="CD120" s="1472"/>
      <c r="CE120" s="1472"/>
      <c r="CF120" s="1472"/>
      <c r="CG120" s="1472"/>
      <c r="CH120" s="1472"/>
      <c r="CI120" s="1472"/>
      <c r="CJ120" s="1472"/>
      <c r="CK120" s="1472"/>
      <c r="CL120" s="1472"/>
      <c r="CM120" s="1472"/>
      <c r="CN120" s="1472"/>
      <c r="CO120" s="1472"/>
      <c r="CP120" s="1472"/>
      <c r="CQ120" s="1472"/>
      <c r="CR120" s="1472"/>
      <c r="CS120" s="1472"/>
      <c r="CT120" s="1472"/>
      <c r="CU120" s="1472"/>
      <c r="CV120" s="1472"/>
      <c r="CW120" s="1472"/>
      <c r="CX120" s="1472"/>
      <c r="CY120" s="1472"/>
      <c r="CZ120" s="1472"/>
      <c r="DA120" s="1472"/>
      <c r="DB120" s="1472"/>
      <c r="DC120" s="1472"/>
      <c r="DD120" s="1472"/>
      <c r="DE120" s="1472"/>
      <c r="DF120" s="1472"/>
      <c r="DG120" s="1472"/>
      <c r="DH120" s="1472"/>
      <c r="DI120" s="1482"/>
      <c r="DJ120" s="1472"/>
      <c r="DK120" s="1482"/>
      <c r="DL120" s="1472"/>
      <c r="DM120" s="1482"/>
      <c r="DN120" s="1472"/>
      <c r="DO120" s="1482"/>
      <c r="DP120" s="1472"/>
      <c r="DQ120" s="1482"/>
      <c r="DR120" s="1472"/>
      <c r="DS120" s="1482"/>
      <c r="DT120" s="1472"/>
      <c r="DU120" s="1472"/>
      <c r="DV120" s="1472">
        <v>0</v>
      </c>
      <c r="DW120" s="1472"/>
      <c r="DX120" s="1472"/>
      <c r="DY120" s="1472"/>
      <c r="DZ120" s="1472"/>
      <c r="EA120" s="1472"/>
      <c r="EB120" s="1472"/>
      <c r="EC120" s="1472"/>
      <c r="ED120" s="1472"/>
      <c r="EE120" s="1472"/>
      <c r="EF120" s="1492"/>
      <c r="EG120" s="1492"/>
      <c r="EH120" s="1479"/>
      <c r="EI120" s="1479"/>
      <c r="EJ120" s="1479"/>
      <c r="EK120" s="1479"/>
      <c r="EL120" s="1479"/>
      <c r="EM120" s="1479"/>
      <c r="EN120" s="1479"/>
      <c r="EO120" s="1479"/>
      <c r="EP120" s="1479"/>
      <c r="EQ120" s="1479"/>
      <c r="ER120" s="1479"/>
      <c r="ES120" s="1479"/>
      <c r="ET120" s="1479"/>
      <c r="EU120" s="1479"/>
      <c r="EV120" s="1479"/>
      <c r="EW120" s="1479"/>
      <c r="EX120" s="1479"/>
      <c r="EY120" s="1479"/>
      <c r="EZ120" s="1479"/>
      <c r="FA120" s="1479"/>
      <c r="FB120" s="1479"/>
      <c r="FC120" s="1479"/>
      <c r="FD120" s="1479"/>
      <c r="FE120" s="1479"/>
      <c r="FF120" s="1479"/>
      <c r="FG120" s="1479"/>
      <c r="FH120" s="1479"/>
      <c r="FI120" s="1479"/>
      <c r="FJ120" s="1479"/>
      <c r="FK120" s="1479"/>
      <c r="FL120" s="1479"/>
      <c r="FM120" s="1479"/>
      <c r="FN120" s="1479"/>
      <c r="FO120" s="1493"/>
      <c r="FP120" s="1493"/>
      <c r="FQ120" s="1493"/>
      <c r="FR120" s="1493"/>
      <c r="FS120" s="1493"/>
      <c r="FT120" s="1493"/>
      <c r="FU120" s="1493"/>
      <c r="FV120" s="1493"/>
      <c r="FW120" s="1493"/>
      <c r="FX120" s="1494"/>
      <c r="FY120" s="1493"/>
      <c r="FZ120" s="1494"/>
      <c r="GA120" s="1493"/>
      <c r="GB120" s="1493"/>
      <c r="GC120" s="1479"/>
      <c r="GD120" s="1425"/>
      <c r="GE120" s="1006"/>
    </row>
    <row r="121" spans="1:195" outlineLevel="1">
      <c r="R121" s="1006">
        <v>13</v>
      </c>
      <c r="S121" s="1538" t="s">
        <v>238</v>
      </c>
      <c r="T121" s="1482">
        <f t="shared" si="66"/>
        <v>598524369.41666663</v>
      </c>
      <c r="U121" s="1482">
        <f>SUMIF(Z$99:$AO$99,$U$99,Z121:AO121)</f>
        <v>555307351</v>
      </c>
      <c r="V121" s="1546">
        <f>+V122+V123</f>
        <v>69110081.441256836</v>
      </c>
      <c r="W121" s="1484">
        <f>SUM(W122:W123)</f>
        <v>69758495</v>
      </c>
      <c r="X121" s="1546">
        <f>+X122+X123</f>
        <v>66880723.975409806</v>
      </c>
      <c r="Y121" s="1484">
        <v>65311000</v>
      </c>
      <c r="Z121" s="1485">
        <f>+Z122+Z123</f>
        <v>69110081.441256836</v>
      </c>
      <c r="AA121" s="1484">
        <v>65311000</v>
      </c>
      <c r="AB121" s="1486">
        <v>66880724</v>
      </c>
      <c r="AC121" s="1484">
        <v>65320991</v>
      </c>
      <c r="AD121" s="1487">
        <v>69110081</v>
      </c>
      <c r="AE121" s="1474">
        <v>84160200</v>
      </c>
      <c r="AF121" s="1485">
        <v>64651366</v>
      </c>
      <c r="AG121" s="1474">
        <v>60974230</v>
      </c>
      <c r="AH121" s="1485">
        <v>69110081</v>
      </c>
      <c r="AI121" s="1474">
        <v>67203250</v>
      </c>
      <c r="AJ121" s="1485">
        <v>64143606</v>
      </c>
      <c r="AK121" s="1484">
        <v>84160200</v>
      </c>
      <c r="AL121" s="1485">
        <v>64143606</v>
      </c>
      <c r="AM121" s="1484">
        <v>60974230</v>
      </c>
      <c r="AN121" s="1485">
        <v>64494100</v>
      </c>
      <c r="AO121" s="1484">
        <v>67203250</v>
      </c>
      <c r="AP121" s="1485">
        <v>67423588</v>
      </c>
      <c r="AQ121" s="1484">
        <v>60351310</v>
      </c>
      <c r="AR121" s="1488">
        <v>69671041</v>
      </c>
      <c r="AS121" s="1484">
        <v>62564550</v>
      </c>
      <c r="AT121" s="1488">
        <v>69671041</v>
      </c>
      <c r="AU121" s="1489">
        <v>62736910</v>
      </c>
      <c r="AV121" s="1488">
        <v>67423588</v>
      </c>
      <c r="AW121" s="1489">
        <v>64601770</v>
      </c>
      <c r="AX121" s="1488">
        <v>69671041</v>
      </c>
      <c r="AY121" s="1489">
        <v>64601770</v>
      </c>
      <c r="AZ121" s="1488">
        <v>67423588</v>
      </c>
      <c r="BA121" s="1489">
        <v>64611214</v>
      </c>
      <c r="BB121" s="1488">
        <v>69671041</v>
      </c>
      <c r="BC121" s="1489">
        <v>64601770</v>
      </c>
      <c r="BD121" s="1488">
        <v>62928682</v>
      </c>
      <c r="BE121" s="1489">
        <v>64601770</v>
      </c>
      <c r="BF121" s="1488">
        <v>68699529</v>
      </c>
      <c r="BG121" s="1489">
        <v>64669280</v>
      </c>
      <c r="BH121" s="1488">
        <v>64686773</v>
      </c>
      <c r="BI121" s="1484">
        <v>81833160</v>
      </c>
      <c r="BJ121" s="1488">
        <v>62600103</v>
      </c>
      <c r="BK121" s="1484">
        <v>70394380</v>
      </c>
      <c r="BL121" s="1488">
        <f>+BL122+BL123</f>
        <v>64686773</v>
      </c>
      <c r="BM121" s="1489">
        <v>76122060</v>
      </c>
      <c r="BN121" s="1488">
        <v>63114776</v>
      </c>
      <c r="BO121" s="1484">
        <v>69678430</v>
      </c>
      <c r="BP121" s="1489">
        <v>65218601</v>
      </c>
      <c r="BQ121" s="1484">
        <v>61981090</v>
      </c>
      <c r="BR121" s="1489">
        <v>65218601</v>
      </c>
      <c r="BS121" s="1484">
        <v>61981120</v>
      </c>
      <c r="BT121" s="1489">
        <v>63114776</v>
      </c>
      <c r="BU121" s="1484">
        <v>58752500</v>
      </c>
      <c r="BV121" s="1489">
        <v>65218601</v>
      </c>
      <c r="BW121" s="1484">
        <v>58752500</v>
      </c>
      <c r="BX121" s="1491">
        <v>63114775.349588998</v>
      </c>
      <c r="BY121" s="1482">
        <v>58752500</v>
      </c>
      <c r="BZ121" s="1482">
        <v>65218601.19457534</v>
      </c>
      <c r="CA121" s="1482">
        <v>58752500</v>
      </c>
      <c r="CB121" s="1482">
        <v>0</v>
      </c>
      <c r="CC121" s="1482">
        <v>58820000</v>
      </c>
      <c r="CD121" s="1482">
        <v>70873805.566405088</v>
      </c>
      <c r="CE121" s="1482">
        <v>58820000</v>
      </c>
      <c r="CF121" s="1482">
        <v>148861711.94966498</v>
      </c>
      <c r="CG121" s="1482">
        <v>57061217</v>
      </c>
      <c r="CH121" s="1482">
        <v>148861711.94966498</v>
      </c>
      <c r="CI121" s="1482">
        <v>118948933</v>
      </c>
      <c r="CJ121" s="1472">
        <v>148861711.94966465</v>
      </c>
      <c r="CK121" s="1482">
        <v>52935380</v>
      </c>
      <c r="CL121" s="1472">
        <v>148861711.94966498</v>
      </c>
      <c r="CM121" s="1482">
        <v>52937859</v>
      </c>
      <c r="CN121" s="1472">
        <v>58571387.04269734</v>
      </c>
      <c r="CO121" s="1482">
        <v>50827820</v>
      </c>
      <c r="CP121" s="1472">
        <v>58571387.04269734</v>
      </c>
      <c r="CQ121" s="1482">
        <v>56133281</v>
      </c>
      <c r="CR121" s="1472">
        <v>58571387.04269734</v>
      </c>
      <c r="CS121" s="1482">
        <v>56135780</v>
      </c>
      <c r="CT121" s="1472">
        <v>58571387.04269734</v>
      </c>
      <c r="CU121" s="1482">
        <v>56135780</v>
      </c>
      <c r="CV121" s="1472">
        <v>58571387.04269734</v>
      </c>
      <c r="CW121" s="1482">
        <v>56135780</v>
      </c>
      <c r="CX121" s="1472">
        <v>58571387.04269734</v>
      </c>
      <c r="CY121" s="1482">
        <v>56135780</v>
      </c>
      <c r="CZ121" s="1472">
        <v>58571387.04269734</v>
      </c>
      <c r="DA121" s="1482">
        <v>56135780</v>
      </c>
      <c r="DB121" s="1472">
        <v>58571387.04269734</v>
      </c>
      <c r="DC121" s="1482">
        <v>56203320</v>
      </c>
      <c r="DD121" s="1472">
        <v>58571387.04269734</v>
      </c>
      <c r="DE121" s="1482">
        <v>59747490</v>
      </c>
      <c r="DF121" s="1472">
        <v>58571387.04269734</v>
      </c>
      <c r="DG121" s="1482">
        <v>59747497</v>
      </c>
      <c r="DH121" s="1472">
        <v>58571387.04269734</v>
      </c>
      <c r="DI121" s="1482">
        <v>64140552</v>
      </c>
      <c r="DJ121" s="1472">
        <v>55101436.218147755</v>
      </c>
      <c r="DK121" s="1482">
        <v>59433262</v>
      </c>
      <c r="DL121" s="1472">
        <v>55101436.218147755</v>
      </c>
      <c r="DM121" s="1482">
        <v>57730992</v>
      </c>
      <c r="DN121" s="1472">
        <v>55101436.218147755</v>
      </c>
      <c r="DO121" s="1482">
        <v>57731011</v>
      </c>
      <c r="DP121" s="1472">
        <v>55101436.218147755</v>
      </c>
      <c r="DQ121" s="1482">
        <v>52777252</v>
      </c>
      <c r="DR121" s="1472">
        <v>55101436.218147755</v>
      </c>
      <c r="DS121" s="1482">
        <v>52777252</v>
      </c>
      <c r="DT121" s="1472">
        <v>55101436.218147755</v>
      </c>
      <c r="DU121" s="1472">
        <v>52777252</v>
      </c>
      <c r="DV121" s="1472">
        <v>55101436.218147755</v>
      </c>
      <c r="DW121" s="1472">
        <v>52777252</v>
      </c>
      <c r="DX121" s="1472">
        <v>55101436.218147755</v>
      </c>
      <c r="DY121" s="1472">
        <v>52844752</v>
      </c>
      <c r="DZ121" s="1472">
        <v>55101436.218147755</v>
      </c>
      <c r="EA121" s="1472">
        <v>52777262</v>
      </c>
      <c r="EB121" s="1472">
        <v>55101436.218147755</v>
      </c>
      <c r="EC121" s="1472">
        <v>48576489</v>
      </c>
      <c r="ED121" s="1472">
        <v>55101436.218147755</v>
      </c>
      <c r="EE121" s="1472">
        <v>47404950</v>
      </c>
      <c r="EF121" s="1472">
        <v>55101436.218147755</v>
      </c>
      <c r="EG121" s="1472">
        <v>64528090</v>
      </c>
      <c r="EH121" s="1472">
        <v>60643292.940583296</v>
      </c>
      <c r="EI121" s="1472">
        <v>46265549</v>
      </c>
      <c r="EJ121" s="1472">
        <v>60643292.940583296</v>
      </c>
      <c r="EK121" s="1472">
        <v>44176560</v>
      </c>
      <c r="EL121" s="1472">
        <v>60643292.940583296</v>
      </c>
      <c r="EM121" s="1472">
        <v>44176570</v>
      </c>
      <c r="EN121" s="1472">
        <v>60643292.940583296</v>
      </c>
      <c r="EO121" s="1472">
        <v>57315970</v>
      </c>
      <c r="EP121" s="1472">
        <v>60643292.940583296</v>
      </c>
      <c r="EQ121" s="1472">
        <v>57315970</v>
      </c>
      <c r="ER121" s="1472">
        <v>60643292.940583296</v>
      </c>
      <c r="ES121" s="1472">
        <v>57315970</v>
      </c>
      <c r="ET121" s="1472">
        <v>60643292.940583296</v>
      </c>
      <c r="EU121" s="1472">
        <v>57315970</v>
      </c>
      <c r="EV121" s="1472">
        <v>60643292.940583296</v>
      </c>
      <c r="EW121" s="1472">
        <v>57315970</v>
      </c>
      <c r="EX121" s="1472">
        <v>60643292.940583296</v>
      </c>
      <c r="EY121" s="1472">
        <v>57383470</v>
      </c>
      <c r="EZ121" s="1472">
        <v>60643292.940583296</v>
      </c>
      <c r="FA121" s="1472">
        <v>60120005</v>
      </c>
      <c r="FB121" s="1472">
        <v>60643292.940583296</v>
      </c>
      <c r="FC121" s="1472">
        <v>60120008</v>
      </c>
      <c r="FD121" s="1472">
        <v>62000000</v>
      </c>
      <c r="FE121" s="1472">
        <v>51969207</v>
      </c>
      <c r="FF121" s="1472">
        <v>62000000</v>
      </c>
      <c r="FG121" s="1472">
        <v>60702208</v>
      </c>
      <c r="FH121" s="1472">
        <v>62000000</v>
      </c>
      <c r="FI121" s="1472">
        <v>58922528</v>
      </c>
      <c r="FJ121" s="1472">
        <v>62000000</v>
      </c>
      <c r="FK121" s="1472">
        <v>59146938</v>
      </c>
      <c r="FL121" s="1472">
        <v>62000000</v>
      </c>
      <c r="FM121" s="1472">
        <v>55284051</v>
      </c>
      <c r="FN121" s="1472">
        <v>62000000</v>
      </c>
      <c r="FO121" s="1472">
        <v>57126853</v>
      </c>
      <c r="FP121" s="1472">
        <v>62000000</v>
      </c>
      <c r="FQ121" s="1472">
        <v>55284051</v>
      </c>
      <c r="FR121" s="1472">
        <v>62000000</v>
      </c>
      <c r="FS121" s="1472">
        <v>95907550</v>
      </c>
      <c r="FT121" s="1472">
        <v>62000000</v>
      </c>
      <c r="FU121" s="1472">
        <v>41903273</v>
      </c>
      <c r="FV121" s="1472">
        <v>62000000</v>
      </c>
      <c r="FW121" s="1472">
        <v>46635410</v>
      </c>
      <c r="FX121" s="1472">
        <v>44000000</v>
      </c>
      <c r="FY121" s="1472">
        <v>49542919</v>
      </c>
      <c r="FZ121" s="1472">
        <v>44000000</v>
      </c>
      <c r="GA121" s="1472">
        <v>32924007</v>
      </c>
      <c r="GB121" s="1493"/>
      <c r="GC121" s="1479"/>
      <c r="GD121" s="1425"/>
    </row>
    <row r="122" spans="1:195" s="1515" customFormat="1" outlineLevel="1">
      <c r="H122" s="1022"/>
      <c r="I122" s="1022"/>
      <c r="J122" s="1022"/>
      <c r="K122" s="1022"/>
      <c r="L122" s="1022"/>
      <c r="M122" s="1022"/>
      <c r="N122" s="1022"/>
      <c r="Q122" s="2327"/>
      <c r="S122" s="1547" t="s">
        <v>1030</v>
      </c>
      <c r="T122" s="1517">
        <f t="shared" si="66"/>
        <v>163206601.06666666</v>
      </c>
      <c r="U122" s="1517">
        <f>SUMIF(Z$99:$AO$99,$U$99,Z122:AO122)</f>
        <v>0</v>
      </c>
      <c r="V122" s="1518">
        <v>18767613.984699454</v>
      </c>
      <c r="W122" s="1532"/>
      <c r="X122" s="1518">
        <v>18162207.081967216</v>
      </c>
      <c r="Y122" s="1532"/>
      <c r="Z122" s="1542">
        <v>18767613.984699454</v>
      </c>
      <c r="AA122" s="1543"/>
      <c r="AB122" s="1544">
        <v>18162207</v>
      </c>
      <c r="AC122" s="1543"/>
      <c r="AD122" s="1544">
        <v>18767614</v>
      </c>
      <c r="AE122" s="1543"/>
      <c r="AF122" s="1542">
        <v>17556800</v>
      </c>
      <c r="AG122" s="1543"/>
      <c r="AH122" s="1542">
        <v>18767614</v>
      </c>
      <c r="AI122" s="1474">
        <v>0</v>
      </c>
      <c r="AJ122" s="1542">
        <v>17463661</v>
      </c>
      <c r="AK122" s="1543"/>
      <c r="AL122" s="1542">
        <v>17463661</v>
      </c>
      <c r="AM122" s="1543"/>
      <c r="AN122" s="1542">
        <v>18095223</v>
      </c>
      <c r="AO122" s="1543"/>
      <c r="AP122" s="1542">
        <v>17849510</v>
      </c>
      <c r="AQ122" s="1543"/>
      <c r="AR122" s="1529">
        <v>18444493</v>
      </c>
      <c r="AS122" s="1543"/>
      <c r="AT122" s="1529">
        <v>18444493</v>
      </c>
      <c r="AU122" s="1529"/>
      <c r="AV122" s="1529">
        <v>17849510</v>
      </c>
      <c r="AW122" s="1529"/>
      <c r="AX122" s="1529">
        <v>18444493</v>
      </c>
      <c r="AY122" s="1529"/>
      <c r="AZ122" s="1529">
        <v>17849510</v>
      </c>
      <c r="BA122" s="1529"/>
      <c r="BB122" s="1529">
        <v>18444493</v>
      </c>
      <c r="BC122" s="1529"/>
      <c r="BD122" s="1529">
        <v>16659542</v>
      </c>
      <c r="BE122" s="1529"/>
      <c r="BF122" s="1529">
        <v>18444493</v>
      </c>
      <c r="BG122" s="1529"/>
      <c r="BH122" s="1529">
        <v>17566184</v>
      </c>
      <c r="BI122" s="1543"/>
      <c r="BJ122" s="1529">
        <v>16999533</v>
      </c>
      <c r="BK122" s="1543"/>
      <c r="BL122" s="1529">
        <v>17566184</v>
      </c>
      <c r="BM122" s="1529"/>
      <c r="BN122" s="1529">
        <v>20752099</v>
      </c>
      <c r="BO122" s="1543"/>
      <c r="BP122" s="1529">
        <v>21443835</v>
      </c>
      <c r="BQ122" s="1543"/>
      <c r="BR122" s="1529">
        <v>21443835</v>
      </c>
      <c r="BS122" s="1543"/>
      <c r="BT122" s="1529">
        <v>20752099</v>
      </c>
      <c r="BU122" s="1543"/>
      <c r="BV122" s="1529">
        <v>21443835</v>
      </c>
      <c r="BW122" s="1543"/>
      <c r="BX122" s="1527">
        <v>20752098.509589043</v>
      </c>
      <c r="BY122" s="1527"/>
      <c r="BZ122" s="1527">
        <v>21443835.126575343</v>
      </c>
      <c r="CA122" s="1527"/>
      <c r="CB122" s="1527"/>
      <c r="CC122" s="1527"/>
      <c r="CD122" s="1527">
        <v>18766678.057499997</v>
      </c>
      <c r="CE122" s="1527"/>
      <c r="CF122" s="1527"/>
      <c r="CG122" s="1517">
        <v>66013553</v>
      </c>
      <c r="CH122" s="1527"/>
      <c r="CI122" s="1517">
        <v>66013553</v>
      </c>
      <c r="CJ122" s="1527"/>
      <c r="CK122" s="1517">
        <v>0</v>
      </c>
      <c r="CL122" s="1527"/>
      <c r="CM122" s="1517">
        <v>0</v>
      </c>
      <c r="CN122" s="1527"/>
      <c r="CO122" s="1517">
        <v>7264860</v>
      </c>
      <c r="CP122" s="1527"/>
      <c r="CQ122" s="1517">
        <v>12570321</v>
      </c>
      <c r="CR122" s="1527"/>
      <c r="CS122" s="1517">
        <v>12572820</v>
      </c>
      <c r="CT122" s="1527"/>
      <c r="CU122" s="1517">
        <v>12572820</v>
      </c>
      <c r="CV122" s="1527"/>
      <c r="CW122" s="1517">
        <v>12572820</v>
      </c>
      <c r="CX122" s="1527"/>
      <c r="CY122" s="1517">
        <v>12572820</v>
      </c>
      <c r="CZ122" s="1527"/>
      <c r="DA122" s="1517">
        <v>12572820</v>
      </c>
      <c r="DB122" s="1527"/>
      <c r="DC122" s="1517">
        <v>9028650</v>
      </c>
      <c r="DD122" s="1527"/>
      <c r="DE122" s="1517">
        <v>12572820</v>
      </c>
      <c r="DF122" s="1527"/>
      <c r="DG122" s="1517">
        <v>12572827</v>
      </c>
      <c r="DH122" s="1527"/>
      <c r="DI122" s="1517">
        <v>16965882</v>
      </c>
      <c r="DJ122" s="1527"/>
      <c r="DK122" s="1517">
        <v>12258582</v>
      </c>
      <c r="DL122" s="1527">
        <v>0</v>
      </c>
      <c r="DM122" s="1517">
        <v>12258582</v>
      </c>
      <c r="DN122" s="1527">
        <v>0</v>
      </c>
      <c r="DO122" s="1517">
        <v>12258601</v>
      </c>
      <c r="DP122" s="1527">
        <v>0</v>
      </c>
      <c r="DQ122" s="1517">
        <v>12258582</v>
      </c>
      <c r="DR122" s="1527"/>
      <c r="DS122" s="1517">
        <v>12258582</v>
      </c>
      <c r="DT122" s="1527">
        <v>0</v>
      </c>
      <c r="DU122" s="1527">
        <v>12258582</v>
      </c>
      <c r="DV122" s="1527">
        <v>0</v>
      </c>
      <c r="DW122" s="1527">
        <v>12258582</v>
      </c>
      <c r="DX122" s="1527"/>
      <c r="DY122" s="1528">
        <v>12326082</v>
      </c>
      <c r="DZ122" s="1527"/>
      <c r="EA122" s="1528">
        <v>12258582</v>
      </c>
      <c r="EB122" s="1527"/>
      <c r="EC122" s="1528">
        <v>12258582</v>
      </c>
      <c r="ED122" s="1527"/>
      <c r="EE122" s="1528">
        <v>12258582</v>
      </c>
      <c r="EF122" s="1528"/>
      <c r="EG122" s="1528">
        <v>28210181</v>
      </c>
      <c r="EH122" s="1529">
        <v>12595808.992000001</v>
      </c>
      <c r="EI122" s="1529">
        <v>11119181</v>
      </c>
      <c r="EJ122" s="1529">
        <v>12595808.992000001</v>
      </c>
      <c r="EK122" s="1529">
        <v>11119181</v>
      </c>
      <c r="EL122" s="1529">
        <v>12595808.992000001</v>
      </c>
      <c r="EM122" s="1529">
        <v>11119191</v>
      </c>
      <c r="EN122" s="1529">
        <v>12595808.992000001</v>
      </c>
      <c r="EO122" s="1529">
        <v>11119180</v>
      </c>
      <c r="EP122" s="1529">
        <v>12595808.992000001</v>
      </c>
      <c r="EQ122" s="1529">
        <v>11119180</v>
      </c>
      <c r="ER122" s="1548">
        <v>12595808.992000001</v>
      </c>
      <c r="ES122" s="1529">
        <v>11119180</v>
      </c>
      <c r="ET122" s="1529">
        <v>12595808.992000001</v>
      </c>
      <c r="EU122" s="1529">
        <v>11119180</v>
      </c>
      <c r="EV122" s="1529">
        <v>12595808.992000001</v>
      </c>
      <c r="EW122" s="1529">
        <v>11119180</v>
      </c>
      <c r="EX122" s="1529">
        <v>12595808.992000001</v>
      </c>
      <c r="EY122" s="1529">
        <v>11186680</v>
      </c>
      <c r="EZ122" s="1529">
        <v>12595808.992000001</v>
      </c>
      <c r="FA122" s="1529">
        <v>11119182</v>
      </c>
      <c r="FB122" s="1529">
        <v>12595808.992000001</v>
      </c>
      <c r="FC122" s="1529">
        <v>11119182</v>
      </c>
      <c r="FD122" s="1529">
        <v>9000000</v>
      </c>
      <c r="FE122" s="1529">
        <v>2968381</v>
      </c>
      <c r="FF122" s="1529">
        <v>9000000</v>
      </c>
      <c r="FG122" s="1529">
        <v>11701382</v>
      </c>
      <c r="FH122" s="1529">
        <v>9000000</v>
      </c>
      <c r="FI122" s="1529">
        <v>11701382</v>
      </c>
      <c r="FJ122" s="1529">
        <v>9000000</v>
      </c>
      <c r="FK122" s="1529">
        <v>11925793</v>
      </c>
      <c r="FL122" s="1529">
        <v>9000000</v>
      </c>
      <c r="FM122" s="1529">
        <v>11541088</v>
      </c>
      <c r="FN122" s="1529">
        <v>9000000</v>
      </c>
      <c r="FO122" s="1530">
        <v>11925791</v>
      </c>
      <c r="FP122" s="1530">
        <v>9000000</v>
      </c>
      <c r="FQ122" s="1530">
        <v>11541088</v>
      </c>
      <c r="FR122" s="1530">
        <v>9000000</v>
      </c>
      <c r="FS122" s="1530">
        <v>50706488</v>
      </c>
      <c r="FT122" s="1531">
        <v>9000000</v>
      </c>
      <c r="FU122" s="1530">
        <v>1076508</v>
      </c>
      <c r="FV122" s="1531">
        <v>9000000</v>
      </c>
      <c r="FW122" s="1530">
        <v>1191848</v>
      </c>
      <c r="FX122" s="1531">
        <v>0</v>
      </c>
      <c r="FY122" s="1530">
        <v>1191848</v>
      </c>
      <c r="FZ122" s="1531">
        <v>0</v>
      </c>
      <c r="GA122" s="1530">
        <v>845828</v>
      </c>
      <c r="GB122" s="1530"/>
      <c r="GC122" s="1529"/>
      <c r="GD122" s="1436"/>
      <c r="GM122" s="1515" t="s">
        <v>1024</v>
      </c>
    </row>
    <row r="123" spans="1:195" s="1515" customFormat="1" outlineLevel="1">
      <c r="H123" s="1006"/>
      <c r="I123" s="1022"/>
      <c r="J123" s="1022"/>
      <c r="K123" s="1022"/>
      <c r="L123" s="1022"/>
      <c r="M123" s="1022"/>
      <c r="N123" s="1022"/>
      <c r="P123" s="1549" t="s">
        <v>1031</v>
      </c>
      <c r="Q123" s="2327"/>
      <c r="S123" s="1541" t="s">
        <v>239</v>
      </c>
      <c r="T123" s="1517">
        <f t="shared" si="66"/>
        <v>435317768.34999996</v>
      </c>
      <c r="U123" s="1517">
        <f>SUMIF(Z$99:$AO$99,$U$99,Z123:AO123)</f>
        <v>538193441</v>
      </c>
      <c r="V123" s="1518">
        <v>50342467.456557378</v>
      </c>
      <c r="W123" s="1532">
        <f>'3-2) 손익계산서(월간)'!D27</f>
        <v>69758495</v>
      </c>
      <c r="X123" s="1518">
        <v>48718516.893442594</v>
      </c>
      <c r="Y123" s="1532">
        <v>65311000</v>
      </c>
      <c r="Z123" s="1542">
        <v>50342467.456557378</v>
      </c>
      <c r="AA123" s="1543">
        <v>65311000</v>
      </c>
      <c r="AB123" s="1544">
        <v>48718517</v>
      </c>
      <c r="AC123" s="1543">
        <v>65320991</v>
      </c>
      <c r="AD123" s="1544">
        <v>50342467</v>
      </c>
      <c r="AE123" s="1543">
        <v>65311000</v>
      </c>
      <c r="AF123" s="1542">
        <v>47094566</v>
      </c>
      <c r="AG123" s="1543">
        <v>65311000</v>
      </c>
      <c r="AH123" s="1542">
        <v>50342467</v>
      </c>
      <c r="AI123" s="1474">
        <v>64601770</v>
      </c>
      <c r="AJ123" s="1542">
        <v>46679945</v>
      </c>
      <c r="AK123" s="1543">
        <v>84160200</v>
      </c>
      <c r="AL123" s="1542">
        <v>46679945</v>
      </c>
      <c r="AM123" s="1543">
        <v>60974230</v>
      </c>
      <c r="AN123" s="1542">
        <v>46398877</v>
      </c>
      <c r="AO123" s="1543">
        <v>67203250</v>
      </c>
      <c r="AP123" s="1542">
        <v>49574078</v>
      </c>
      <c r="AQ123" s="1543">
        <v>60351310</v>
      </c>
      <c r="AR123" s="1529">
        <v>51226548</v>
      </c>
      <c r="AS123" s="1543">
        <v>62564550</v>
      </c>
      <c r="AT123" s="1529">
        <v>51226548</v>
      </c>
      <c r="AU123" s="1529">
        <v>62736910</v>
      </c>
      <c r="AV123" s="1529">
        <v>49574078</v>
      </c>
      <c r="AW123" s="1529">
        <v>64601770</v>
      </c>
      <c r="AX123" s="1529">
        <v>51226548</v>
      </c>
      <c r="AY123" s="1529">
        <v>64601770</v>
      </c>
      <c r="AZ123" s="1529">
        <v>49574078</v>
      </c>
      <c r="BA123" s="1529">
        <v>64611214</v>
      </c>
      <c r="BB123" s="1529">
        <v>51226548</v>
      </c>
      <c r="BC123" s="1529">
        <v>64601770</v>
      </c>
      <c r="BD123" s="1529">
        <v>46269140</v>
      </c>
      <c r="BE123" s="1529">
        <v>64601770</v>
      </c>
      <c r="BF123" s="1529">
        <v>50255036</v>
      </c>
      <c r="BG123" s="1529">
        <v>64669280</v>
      </c>
      <c r="BH123" s="1529">
        <v>47120589</v>
      </c>
      <c r="BI123" s="1543">
        <v>81833160</v>
      </c>
      <c r="BJ123" s="1529">
        <v>45600570</v>
      </c>
      <c r="BK123" s="1543">
        <v>70394380</v>
      </c>
      <c r="BL123" s="1529">
        <v>47120589</v>
      </c>
      <c r="BM123" s="1529">
        <v>76122060</v>
      </c>
      <c r="BN123" s="1529">
        <v>42362677</v>
      </c>
      <c r="BO123" s="1543">
        <v>69678430</v>
      </c>
      <c r="BP123" s="1529">
        <v>43774766</v>
      </c>
      <c r="BQ123" s="1543">
        <v>61981090</v>
      </c>
      <c r="BR123" s="1529">
        <v>43774766</v>
      </c>
      <c r="BS123" s="1543">
        <v>61981120</v>
      </c>
      <c r="BT123" s="1529">
        <v>42362677</v>
      </c>
      <c r="BU123" s="1543">
        <v>58752500</v>
      </c>
      <c r="BV123" s="1529">
        <v>43774766</v>
      </c>
      <c r="BW123" s="1543">
        <v>58752500</v>
      </c>
      <c r="BX123" s="1527">
        <v>42362676.839999996</v>
      </c>
      <c r="BY123" s="1527">
        <v>58752500</v>
      </c>
      <c r="BZ123" s="1527">
        <v>43774766.067999996</v>
      </c>
      <c r="CA123" s="1527">
        <v>58752500</v>
      </c>
      <c r="CB123" s="1527"/>
      <c r="CC123" s="1527">
        <v>58820000</v>
      </c>
      <c r="CD123" s="1527">
        <v>52107127.508905098</v>
      </c>
      <c r="CE123" s="1527">
        <v>58820000</v>
      </c>
      <c r="CF123" s="1527">
        <v>148861711.94966498</v>
      </c>
      <c r="CG123" s="1526">
        <v>-8952336</v>
      </c>
      <c r="CH123" s="1527">
        <f>CH121</f>
        <v>148861711.94966498</v>
      </c>
      <c r="CI123" s="1517">
        <v>52935380</v>
      </c>
      <c r="CJ123" s="1527">
        <v>148861711.94966465</v>
      </c>
      <c r="CK123" s="1517">
        <v>52935380</v>
      </c>
      <c r="CL123" s="1527">
        <v>148861711.94966498</v>
      </c>
      <c r="CM123" s="1517">
        <v>52937859</v>
      </c>
      <c r="CN123" s="1527"/>
      <c r="CO123" s="1517">
        <v>43562960</v>
      </c>
      <c r="CP123" s="1527"/>
      <c r="CQ123" s="1517">
        <v>43562960</v>
      </c>
      <c r="CR123" s="1527"/>
      <c r="CS123" s="1517">
        <v>43562960</v>
      </c>
      <c r="CT123" s="1527"/>
      <c r="CU123" s="1517">
        <v>43562960</v>
      </c>
      <c r="CV123" s="1527"/>
      <c r="CW123" s="1517">
        <v>43562960</v>
      </c>
      <c r="CX123" s="1527"/>
      <c r="CY123" s="1517">
        <v>43562960</v>
      </c>
      <c r="CZ123" s="1527"/>
      <c r="DA123" s="1517">
        <v>43562960</v>
      </c>
      <c r="DB123" s="1527"/>
      <c r="DC123" s="1517">
        <v>47174670</v>
      </c>
      <c r="DD123" s="1527"/>
      <c r="DE123" s="1517">
        <v>47174670</v>
      </c>
      <c r="DF123" s="1527"/>
      <c r="DG123" s="1517">
        <v>47174670</v>
      </c>
      <c r="DH123" s="1527"/>
      <c r="DI123" s="1517">
        <v>47174670</v>
      </c>
      <c r="DJ123" s="1527"/>
      <c r="DK123" s="1517">
        <v>47174680</v>
      </c>
      <c r="DL123" s="1527">
        <v>0</v>
      </c>
      <c r="DM123" s="1517">
        <v>45472410</v>
      </c>
      <c r="DN123" s="1527">
        <v>0</v>
      </c>
      <c r="DO123" s="1517">
        <v>45472410</v>
      </c>
      <c r="DP123" s="1527">
        <v>0</v>
      </c>
      <c r="DQ123" s="1517">
        <v>40518670</v>
      </c>
      <c r="DR123" s="1527"/>
      <c r="DS123" s="1517">
        <v>40518670</v>
      </c>
      <c r="DT123" s="1527">
        <v>0</v>
      </c>
      <c r="DU123" s="1527">
        <v>40518670</v>
      </c>
      <c r="DV123" s="1527">
        <v>0</v>
      </c>
      <c r="DW123" s="1527">
        <v>40518670</v>
      </c>
      <c r="DX123" s="1527"/>
      <c r="DY123" s="1527">
        <v>40518670</v>
      </c>
      <c r="DZ123" s="1527"/>
      <c r="EA123" s="1527">
        <v>40518680</v>
      </c>
      <c r="EB123" s="1527"/>
      <c r="EC123" s="1527">
        <v>36317907</v>
      </c>
      <c r="ED123" s="1527"/>
      <c r="EE123" s="1527">
        <v>35146368</v>
      </c>
      <c r="EF123" s="1528"/>
      <c r="EG123" s="1528">
        <v>36317909</v>
      </c>
      <c r="EH123" s="1529">
        <v>48047483.948583297</v>
      </c>
      <c r="EI123" s="1529">
        <v>35146368</v>
      </c>
      <c r="EJ123" s="1529">
        <v>48047483.948583297</v>
      </c>
      <c r="EK123" s="1529">
        <v>33057379</v>
      </c>
      <c r="EL123" s="1529">
        <v>48047483.948583297</v>
      </c>
      <c r="EM123" s="1529">
        <v>33057379</v>
      </c>
      <c r="EN123" s="1529">
        <v>48047483.948583297</v>
      </c>
      <c r="EO123" s="1529">
        <v>46196790</v>
      </c>
      <c r="EP123" s="1529">
        <v>48047483.948583297</v>
      </c>
      <c r="EQ123" s="1529">
        <v>46196790</v>
      </c>
      <c r="ER123" s="1529">
        <v>48047483.948583297</v>
      </c>
      <c r="ES123" s="1529">
        <v>46196790</v>
      </c>
      <c r="ET123" s="1529">
        <v>48047483.948583297</v>
      </c>
      <c r="EU123" s="1529">
        <v>46196790</v>
      </c>
      <c r="EV123" s="1529">
        <v>48047483.948583297</v>
      </c>
      <c r="EW123" s="1529">
        <v>46196790</v>
      </c>
      <c r="EX123" s="1529">
        <v>48047483.948583297</v>
      </c>
      <c r="EY123" s="1529">
        <v>46196790</v>
      </c>
      <c r="EZ123" s="1529">
        <v>48047483.948583297</v>
      </c>
      <c r="FA123" s="1529">
        <v>49000823</v>
      </c>
      <c r="FB123" s="1529">
        <v>48047483.948583297</v>
      </c>
      <c r="FC123" s="1529">
        <v>49000826</v>
      </c>
      <c r="FD123" s="1529">
        <v>53000000</v>
      </c>
      <c r="FE123" s="1529">
        <v>49000826</v>
      </c>
      <c r="FF123" s="1529">
        <v>53000000</v>
      </c>
      <c r="FG123" s="1529">
        <v>49000826</v>
      </c>
      <c r="FH123" s="1529">
        <v>53000000</v>
      </c>
      <c r="FI123" s="1529">
        <v>47221146</v>
      </c>
      <c r="FJ123" s="1529">
        <v>53000000</v>
      </c>
      <c r="FK123" s="1529">
        <v>47221145</v>
      </c>
      <c r="FL123" s="1529">
        <v>53000000</v>
      </c>
      <c r="FM123" s="1529">
        <v>43742963</v>
      </c>
      <c r="FN123" s="1529">
        <v>53000000</v>
      </c>
      <c r="FO123" s="1530">
        <v>45201062</v>
      </c>
      <c r="FP123" s="1530">
        <v>53000000</v>
      </c>
      <c r="FQ123" s="1530">
        <v>43742963</v>
      </c>
      <c r="FR123" s="1530">
        <v>53000000</v>
      </c>
      <c r="FS123" s="1530">
        <v>45201062</v>
      </c>
      <c r="FT123" s="1530">
        <v>53000000</v>
      </c>
      <c r="FU123" s="1530">
        <v>40826765</v>
      </c>
      <c r="FV123" s="1550">
        <v>53000000</v>
      </c>
      <c r="FW123" s="1530">
        <v>45443562</v>
      </c>
      <c r="FX123" s="1550">
        <v>44000000</v>
      </c>
      <c r="FY123" s="1530">
        <v>48351071</v>
      </c>
      <c r="FZ123" s="1550">
        <v>44000000</v>
      </c>
      <c r="GA123" s="1530">
        <v>32078179</v>
      </c>
      <c r="GB123" s="1530"/>
      <c r="GC123" s="1529"/>
      <c r="GD123" s="1436" t="s">
        <v>1032</v>
      </c>
    </row>
    <row r="124" spans="1:195" s="1515" customFormat="1" outlineLevel="1">
      <c r="H124" s="1022"/>
      <c r="I124" s="1022"/>
      <c r="J124" s="1022"/>
      <c r="K124" s="1022"/>
      <c r="L124" s="1022"/>
      <c r="M124" s="1022"/>
      <c r="N124" s="1022"/>
      <c r="Q124" s="2327"/>
      <c r="R124" s="1006"/>
      <c r="S124" s="1551" t="s">
        <v>1033</v>
      </c>
      <c r="T124" s="1482">
        <f t="shared" si="66"/>
        <v>9899300844.9260445</v>
      </c>
      <c r="U124" s="1482">
        <f>SUMIF(Z$99:$AO$99,$U$99,Z124:AO124)</f>
        <v>8261160276</v>
      </c>
      <c r="V124" s="1552">
        <f>V94-V100</f>
        <v>982471691.67566562</v>
      </c>
      <c r="W124" s="1553">
        <f>W94-W100</f>
        <v>1179433714</v>
      </c>
      <c r="X124" s="1552">
        <f>X94-X100</f>
        <v>1033319055.8915904</v>
      </c>
      <c r="Y124" s="1553">
        <v>976906918</v>
      </c>
      <c r="Z124" s="1554">
        <f>Z94-Z100</f>
        <v>1007394831.1575693</v>
      </c>
      <c r="AA124" s="1553">
        <v>886324318</v>
      </c>
      <c r="AB124" s="1555">
        <v>1181389715.4949393</v>
      </c>
      <c r="AC124" s="1553">
        <v>1202519726</v>
      </c>
      <c r="AD124" s="1555">
        <v>1145776145</v>
      </c>
      <c r="AE124" s="1553">
        <v>947806763</v>
      </c>
      <c r="AF124" s="1554">
        <v>927322064</v>
      </c>
      <c r="AG124" s="1553">
        <v>915763481</v>
      </c>
      <c r="AH124" s="1554">
        <v>1181941689</v>
      </c>
      <c r="AI124" s="1474">
        <v>1171189211</v>
      </c>
      <c r="AJ124" s="1554">
        <v>1173558652.3819444</v>
      </c>
      <c r="AK124" s="1553">
        <v>1165786947</v>
      </c>
      <c r="AL124" s="1554">
        <v>1131498162</v>
      </c>
      <c r="AM124" s="1553">
        <v>1075001716</v>
      </c>
      <c r="AN124" s="1554">
        <v>1117100530</v>
      </c>
      <c r="AO124" s="1553">
        <v>896768114</v>
      </c>
      <c r="AP124" s="1554">
        <v>1326469116</v>
      </c>
      <c r="AQ124" s="1553">
        <v>1235111611</v>
      </c>
      <c r="AR124" s="1452">
        <v>992132458</v>
      </c>
      <c r="AS124" s="1553">
        <v>980732080.99999976</v>
      </c>
      <c r="AT124" s="1452">
        <v>989596797</v>
      </c>
      <c r="AU124" s="1452">
        <v>987120783.99999976</v>
      </c>
      <c r="AV124" s="1452">
        <v>749159100</v>
      </c>
      <c r="AW124" s="1452">
        <v>708533519.99999976</v>
      </c>
      <c r="AX124" s="1556">
        <v>913219447</v>
      </c>
      <c r="AY124" s="1452">
        <v>831046610</v>
      </c>
      <c r="AZ124" s="1452">
        <v>1222001298</v>
      </c>
      <c r="BA124" s="1452">
        <v>1045923331.2</v>
      </c>
      <c r="BB124" s="1557">
        <v>792731890</v>
      </c>
      <c r="BC124" s="1452">
        <v>1011502973</v>
      </c>
      <c r="BD124" s="1557">
        <v>1079052223</v>
      </c>
      <c r="BE124" s="1452">
        <v>1046172325</v>
      </c>
      <c r="BF124" s="1452">
        <v>1188928281</v>
      </c>
      <c r="BG124" s="1452">
        <v>1158082769.3870964</v>
      </c>
      <c r="BH124" s="1452">
        <v>1146359509</v>
      </c>
      <c r="BI124" s="1553">
        <v>1064215968.3870969</v>
      </c>
      <c r="BJ124" s="1452">
        <v>1065789763</v>
      </c>
      <c r="BK124" s="1553">
        <v>1030155320</v>
      </c>
      <c r="BL124" s="1452">
        <f>BL94-BL100</f>
        <v>1066225917</v>
      </c>
      <c r="BM124" s="1452">
        <v>1036201038</v>
      </c>
      <c r="BN124" s="1452">
        <v>1327730495</v>
      </c>
      <c r="BO124" s="1553">
        <v>1230113988</v>
      </c>
      <c r="BP124" s="1452">
        <v>1252527183</v>
      </c>
      <c r="BQ124" s="1553">
        <v>915615601</v>
      </c>
      <c r="BR124" s="1452">
        <v>964429269</v>
      </c>
      <c r="BS124" s="1553">
        <v>966226920</v>
      </c>
      <c r="BT124" s="1452">
        <v>974425022</v>
      </c>
      <c r="BU124" s="1553">
        <v>697365979</v>
      </c>
      <c r="BV124" s="1452">
        <v>939360923</v>
      </c>
      <c r="BW124" s="1553">
        <v>823859793</v>
      </c>
      <c r="BX124" s="1492">
        <v>1068565985.7118453</v>
      </c>
      <c r="BY124" s="1492">
        <v>1037515875</v>
      </c>
      <c r="BZ124" s="1492">
        <v>332236584.12981749</v>
      </c>
      <c r="CA124" s="1492">
        <v>834294516.57142806</v>
      </c>
      <c r="CB124" s="1492">
        <v>1169794838.5640459</v>
      </c>
      <c r="CC124" s="1492">
        <v>1003123306</v>
      </c>
      <c r="CD124" s="1492">
        <v>1038993262.2439294</v>
      </c>
      <c r="CE124" s="1492">
        <v>1003123306</v>
      </c>
      <c r="CF124" s="1492">
        <v>1120519577.8997998</v>
      </c>
      <c r="CG124" s="1492">
        <v>1053453653</v>
      </c>
      <c r="CH124" s="1492">
        <f>CH94-CH100</f>
        <v>1058815984.4523197</v>
      </c>
      <c r="CI124" s="1492">
        <v>944164022</v>
      </c>
      <c r="CJ124" s="1492">
        <v>995481719.39692807</v>
      </c>
      <c r="CK124" s="1492">
        <v>985538732.35516667</v>
      </c>
      <c r="CL124" s="1492">
        <v>1071215803.1975619</v>
      </c>
      <c r="CM124" s="1492">
        <v>-9921556437</v>
      </c>
      <c r="CN124" s="1492">
        <v>971096317.30230272</v>
      </c>
      <c r="CO124" s="1492">
        <v>993788901</v>
      </c>
      <c r="CP124" s="1492">
        <v>971448206.06230271</v>
      </c>
      <c r="CQ124" s="1492">
        <v>936105227</v>
      </c>
      <c r="CR124" s="1492">
        <v>629607171.84896934</v>
      </c>
      <c r="CS124" s="1492">
        <v>651951725</v>
      </c>
      <c r="CT124" s="1492">
        <v>814280543.75585127</v>
      </c>
      <c r="CU124" s="1492">
        <v>889462242</v>
      </c>
      <c r="CV124" s="1492">
        <v>936140964.54896939</v>
      </c>
      <c r="CW124" s="1492">
        <v>939217003</v>
      </c>
      <c r="CX124" s="1492">
        <v>848653389.5277921</v>
      </c>
      <c r="CY124" s="1492">
        <v>913018253</v>
      </c>
      <c r="CZ124" s="1492">
        <v>976734593.32263076</v>
      </c>
      <c r="DA124" s="1492">
        <v>1024513729</v>
      </c>
      <c r="DB124" s="1492">
        <v>1063509859.2103726</v>
      </c>
      <c r="DC124" s="1492">
        <v>1116174268.5161285</v>
      </c>
      <c r="DD124" s="1492">
        <v>1126242859.0731683</v>
      </c>
      <c r="DE124" s="1492">
        <v>1178547348</v>
      </c>
      <c r="DF124" s="1492">
        <v>952967864.08091044</v>
      </c>
      <c r="DG124" s="1492">
        <v>975126711</v>
      </c>
      <c r="DH124" s="1492">
        <v>888766840.10671663</v>
      </c>
      <c r="DI124" s="1492">
        <v>939836312</v>
      </c>
      <c r="DJ124" s="1492">
        <v>1294523959.5891917</v>
      </c>
      <c r="DK124" s="1492">
        <v>1155608153</v>
      </c>
      <c r="DL124" s="1492">
        <v>976097735.55351901</v>
      </c>
      <c r="DM124" s="1492">
        <v>897872547</v>
      </c>
      <c r="DN124" s="1492">
        <v>1017441464.1244867</v>
      </c>
      <c r="DO124" s="1492">
        <v>910728606.05439281</v>
      </c>
      <c r="DP124" s="1492">
        <v>717638701.07351899</v>
      </c>
      <c r="DQ124" s="1472">
        <v>594747305.18130827</v>
      </c>
      <c r="DR124" s="1492">
        <v>816324959.02351892</v>
      </c>
      <c r="DS124" s="1472">
        <v>790491632</v>
      </c>
      <c r="DT124" s="1492">
        <v>991776067.10685229</v>
      </c>
      <c r="DU124" s="1472">
        <v>935133852</v>
      </c>
      <c r="DV124" s="1492">
        <v>1117361376.6101909</v>
      </c>
      <c r="DW124" s="1472">
        <v>1073137187</v>
      </c>
      <c r="DX124" s="1492">
        <v>971761073.60488129</v>
      </c>
      <c r="DY124" s="1492">
        <v>1004824386</v>
      </c>
      <c r="DZ124" s="1492">
        <v>1030245739.6986859</v>
      </c>
      <c r="EA124" s="1492">
        <v>1094102872</v>
      </c>
      <c r="EB124" s="1492">
        <v>784806457.67062104</v>
      </c>
      <c r="EC124" s="1492">
        <v>970743937</v>
      </c>
      <c r="ED124" s="1492">
        <v>782991577.6138469</v>
      </c>
      <c r="EE124" s="1492">
        <v>716475563</v>
      </c>
      <c r="EF124" s="1492">
        <v>1033442555.5241692</v>
      </c>
      <c r="EG124" s="1492">
        <v>1035720154</v>
      </c>
      <c r="EH124" s="1479">
        <v>1096394855.5482707</v>
      </c>
      <c r="EI124" s="1479">
        <v>1209005252.0000005</v>
      </c>
      <c r="EJ124" s="1479">
        <v>1062958060.8310715</v>
      </c>
      <c r="EK124" s="1479">
        <v>1117208649.0000005</v>
      </c>
      <c r="EL124" s="1479">
        <v>1057681571.9135557</v>
      </c>
      <c r="EM124" s="1479">
        <v>1126117976</v>
      </c>
      <c r="EN124" s="1479">
        <v>937093577.17904878</v>
      </c>
      <c r="EO124" s="1479">
        <v>879003421.00000048</v>
      </c>
      <c r="EP124" s="1479">
        <v>684308818.81946409</v>
      </c>
      <c r="EQ124" s="1479">
        <v>701705531.33333349</v>
      </c>
      <c r="ER124" s="1479">
        <v>779770895.50181878</v>
      </c>
      <c r="ES124" s="1479">
        <v>796464856</v>
      </c>
      <c r="ET124" s="1558">
        <v>881894920.89803338</v>
      </c>
      <c r="EU124" s="1558">
        <v>898094043</v>
      </c>
      <c r="EV124" s="1558">
        <v>800454911.60018313</v>
      </c>
      <c r="EW124" s="1558">
        <v>810903356</v>
      </c>
      <c r="EX124" s="1558">
        <v>860503628.2200911</v>
      </c>
      <c r="EY124" s="1558">
        <v>849303539</v>
      </c>
      <c r="EZ124" s="1558">
        <v>496778623.86937571</v>
      </c>
      <c r="FA124" s="1558">
        <v>457537478</v>
      </c>
      <c r="FB124" s="1558">
        <v>886852790.60238612</v>
      </c>
      <c r="FC124" s="1558">
        <v>876448741</v>
      </c>
      <c r="FD124" s="1558">
        <v>1061350254.3851399</v>
      </c>
      <c r="FE124" s="1558">
        <v>875448888</v>
      </c>
      <c r="FF124" s="1558">
        <v>1170373451.9302101</v>
      </c>
      <c r="FG124" s="1558">
        <v>1045149382.9</v>
      </c>
      <c r="FH124" s="1558">
        <v>1145827457.53021</v>
      </c>
      <c r="FI124" s="1558">
        <v>957447231.10000002</v>
      </c>
      <c r="FJ124" s="1558">
        <v>1161282286.17839</v>
      </c>
      <c r="FK124" s="1558">
        <v>945273294.70000005</v>
      </c>
      <c r="FL124" s="1558">
        <v>1152758129.17221</v>
      </c>
      <c r="FM124" s="1558">
        <v>882620046.29999995</v>
      </c>
      <c r="FN124" s="1558">
        <v>976442639.69596601</v>
      </c>
      <c r="FO124" s="1558">
        <v>750318764</v>
      </c>
      <c r="FP124" s="1558">
        <v>1007428928.3321199</v>
      </c>
      <c r="FQ124" s="1558">
        <v>861749611</v>
      </c>
      <c r="FR124" s="1558">
        <v>1075980951.8831999</v>
      </c>
      <c r="FS124" s="1558">
        <v>892636548</v>
      </c>
      <c r="FT124" s="1559">
        <v>954311181.88319993</v>
      </c>
      <c r="FU124" s="1558">
        <v>960411006</v>
      </c>
      <c r="FV124" s="1559">
        <v>995278781.88319993</v>
      </c>
      <c r="FW124" s="1558">
        <v>1055890277</v>
      </c>
      <c r="FX124" s="1558">
        <v>682741956.88319993</v>
      </c>
      <c r="FY124" s="1558">
        <v>678744557</v>
      </c>
      <c r="FZ124" s="1558">
        <v>546818121.06574011</v>
      </c>
      <c r="GA124" s="1558">
        <v>679758499</v>
      </c>
      <c r="GB124" s="1558">
        <f>GB94-GB100</f>
        <v>0</v>
      </c>
      <c r="GC124" s="1558">
        <f>GC94-GC100</f>
        <v>0</v>
      </c>
      <c r="GD124" s="1425"/>
      <c r="GE124" s="1006"/>
    </row>
    <row r="125" spans="1:195" s="1515" customFormat="1" outlineLevel="1">
      <c r="H125" s="1022"/>
      <c r="I125" s="1022"/>
      <c r="J125" s="1022"/>
      <c r="K125" s="1022"/>
      <c r="L125" s="1022"/>
      <c r="M125" s="1022"/>
      <c r="N125" s="1022"/>
      <c r="O125" s="1560"/>
      <c r="Q125" s="2327"/>
      <c r="R125" s="1006"/>
      <c r="S125" s="1561" t="s">
        <v>240</v>
      </c>
      <c r="T125" s="1482">
        <f t="shared" si="66"/>
        <v>301062192</v>
      </c>
      <c r="U125" s="1482">
        <f>SUMIF(Z$99:$AO$99,$U$99,Z125:AO125)</f>
        <v>374690946</v>
      </c>
      <c r="V125" s="1483">
        <v>33445804</v>
      </c>
      <c r="W125" s="1484">
        <f>'3-2) 손익계산서(월간)'!D32</f>
        <v>42440954</v>
      </c>
      <c r="X125" s="1483">
        <v>33229571</v>
      </c>
      <c r="Y125" s="1484">
        <v>42934135</v>
      </c>
      <c r="Z125" s="1485">
        <v>34337223</v>
      </c>
      <c r="AA125" s="1484">
        <v>51520939</v>
      </c>
      <c r="AB125" s="1486">
        <v>33229571</v>
      </c>
      <c r="AC125" s="1484">
        <v>49729764</v>
      </c>
      <c r="AD125" s="1487">
        <v>34337223</v>
      </c>
      <c r="AE125" s="1484">
        <v>51197901</v>
      </c>
      <c r="AF125" s="1485">
        <v>31014266</v>
      </c>
      <c r="AG125" s="1484">
        <v>39506174</v>
      </c>
      <c r="AH125" s="1485">
        <v>34337223</v>
      </c>
      <c r="AI125" s="1484">
        <v>41093474</v>
      </c>
      <c r="AJ125" s="1485">
        <v>33229571</v>
      </c>
      <c r="AK125" s="1484">
        <v>42344033</v>
      </c>
      <c r="AL125" s="1485">
        <v>33229571</v>
      </c>
      <c r="AM125" s="1484">
        <v>48881060</v>
      </c>
      <c r="AN125" s="1485">
        <v>34117973</v>
      </c>
      <c r="AO125" s="1484">
        <v>50417601</v>
      </c>
      <c r="AP125" s="1485">
        <v>12997539</v>
      </c>
      <c r="AQ125" s="1484">
        <v>43737490</v>
      </c>
      <c r="AR125" s="1488">
        <v>13055221</v>
      </c>
      <c r="AS125" s="1484">
        <v>42916308</v>
      </c>
      <c r="AT125" s="1488">
        <v>13142285</v>
      </c>
      <c r="AU125" s="1489">
        <v>42886439</v>
      </c>
      <c r="AV125" s="1488">
        <v>13075304</v>
      </c>
      <c r="AW125" s="1489">
        <v>32627687</v>
      </c>
      <c r="AX125" s="1488">
        <v>13554521</v>
      </c>
      <c r="AY125" s="1489">
        <v>49374649</v>
      </c>
      <c r="AZ125" s="1488">
        <v>13380996</v>
      </c>
      <c r="BA125" s="1489">
        <v>47424437</v>
      </c>
      <c r="BB125" s="1488">
        <v>14119225</v>
      </c>
      <c r="BC125" s="1489">
        <v>47731262</v>
      </c>
      <c r="BD125" s="1488">
        <v>14596038</v>
      </c>
      <c r="BE125" s="1489">
        <v>36380404</v>
      </c>
      <c r="BF125" s="1488">
        <v>14596038</v>
      </c>
      <c r="BG125" s="1489">
        <v>38925619</v>
      </c>
      <c r="BH125" s="1488">
        <v>15450653</v>
      </c>
      <c r="BI125" s="1484">
        <v>32575140</v>
      </c>
      <c r="BJ125" s="1488">
        <v>15263989</v>
      </c>
      <c r="BK125" s="1484">
        <v>43443077</v>
      </c>
      <c r="BL125" s="1488">
        <v>15450653</v>
      </c>
      <c r="BM125" s="1489">
        <v>45997845</v>
      </c>
      <c r="BN125" s="1488">
        <v>15135125</v>
      </c>
      <c r="BO125" s="1484">
        <v>42614985</v>
      </c>
      <c r="BP125" s="1489">
        <v>15556523</v>
      </c>
      <c r="BQ125" s="1484">
        <v>32077105</v>
      </c>
      <c r="BR125" s="1489">
        <v>15556523</v>
      </c>
      <c r="BS125" s="1484">
        <v>30455443</v>
      </c>
      <c r="BT125" s="1489">
        <v>15054700</v>
      </c>
      <c r="BU125" s="1484">
        <v>30187762</v>
      </c>
      <c r="BV125" s="1489">
        <v>15293555</v>
      </c>
      <c r="BW125" s="1484">
        <v>27080944</v>
      </c>
      <c r="BX125" s="1482">
        <v>14950418</v>
      </c>
      <c r="BY125" s="1482">
        <v>16476214</v>
      </c>
      <c r="BZ125" s="1482">
        <v>15448766</v>
      </c>
      <c r="CA125" s="1482">
        <v>16490755</v>
      </c>
      <c r="CB125" s="1482">
        <v>13953724</v>
      </c>
      <c r="CC125" s="1482">
        <v>13928799</v>
      </c>
      <c r="CD125" s="1482">
        <v>19546469.709410898</v>
      </c>
      <c r="CE125" s="1482">
        <v>13928799</v>
      </c>
      <c r="CF125" s="1482">
        <v>19228492.015972499</v>
      </c>
      <c r="CG125" s="1482">
        <v>12680657</v>
      </c>
      <c r="CH125" s="1482">
        <v>18917641.537061702</v>
      </c>
      <c r="CI125" s="1482">
        <v>11928356</v>
      </c>
      <c r="CJ125" s="1472">
        <v>17965199.275683008</v>
      </c>
      <c r="CK125" s="1482">
        <v>9452035</v>
      </c>
      <c r="CL125" s="1472">
        <v>15948836.7539957</v>
      </c>
      <c r="CM125" s="1482">
        <v>8313410</v>
      </c>
      <c r="CN125" s="1472">
        <v>12623708.891499998</v>
      </c>
      <c r="CO125" s="1482">
        <v>10263130</v>
      </c>
      <c r="CP125" s="1472">
        <v>12623708.891499998</v>
      </c>
      <c r="CQ125" s="1482">
        <v>10007060</v>
      </c>
      <c r="CR125" s="1472">
        <v>12623708.891499998</v>
      </c>
      <c r="CS125" s="1482">
        <v>6506867</v>
      </c>
      <c r="CT125" s="1472">
        <v>12623708.891499998</v>
      </c>
      <c r="CU125" s="1482">
        <v>10821537</v>
      </c>
      <c r="CV125" s="1472">
        <v>12623708.891499998</v>
      </c>
      <c r="CW125" s="1482">
        <v>13428591</v>
      </c>
      <c r="CX125" s="1472">
        <v>12623708.891499998</v>
      </c>
      <c r="CY125" s="1482">
        <v>13769381</v>
      </c>
      <c r="CZ125" s="1472">
        <v>12623708.891499998</v>
      </c>
      <c r="DA125" s="1482">
        <v>10915345</v>
      </c>
      <c r="DB125" s="1472">
        <v>12623708.891499998</v>
      </c>
      <c r="DC125" s="1482">
        <v>13375780</v>
      </c>
      <c r="DD125" s="1472">
        <v>12623708.891499998</v>
      </c>
      <c r="DE125" s="1482">
        <v>13607814</v>
      </c>
      <c r="DF125" s="1472">
        <v>12623708.891499998</v>
      </c>
      <c r="DG125" s="1482">
        <v>13382371</v>
      </c>
      <c r="DH125" s="1472">
        <v>12623708.891499998</v>
      </c>
      <c r="DI125" s="1482">
        <v>13753286</v>
      </c>
      <c r="DJ125" s="1472">
        <v>18692082.249166664</v>
      </c>
      <c r="DK125" s="1482">
        <v>12683011</v>
      </c>
      <c r="DL125" s="1472">
        <v>18692082.249166664</v>
      </c>
      <c r="DM125" s="1482">
        <v>13903811</v>
      </c>
      <c r="DN125" s="1472">
        <v>18692082.249166664</v>
      </c>
      <c r="DO125" s="1482">
        <v>13878514</v>
      </c>
      <c r="DP125" s="1472">
        <v>18692082.249166664</v>
      </c>
      <c r="DQ125" s="1482">
        <v>10619351</v>
      </c>
      <c r="DR125" s="1472">
        <v>18692082.249166664</v>
      </c>
      <c r="DS125" s="1482">
        <v>19046929</v>
      </c>
      <c r="DT125" s="1472">
        <v>19046929</v>
      </c>
      <c r="DU125" s="1472">
        <v>7031989</v>
      </c>
      <c r="DV125" s="1472">
        <v>18692082.249166664</v>
      </c>
      <c r="DW125" s="1472">
        <v>20531958</v>
      </c>
      <c r="DX125" s="1472">
        <v>18692082.249166664</v>
      </c>
      <c r="DY125" s="1492">
        <v>19178595</v>
      </c>
      <c r="DZ125" s="1472">
        <v>18692082.249166664</v>
      </c>
      <c r="EA125" s="1492">
        <v>20533899</v>
      </c>
      <c r="EB125" s="1472">
        <v>18692082.249166664</v>
      </c>
      <c r="EC125" s="1492">
        <v>20642579</v>
      </c>
      <c r="ED125" s="1472">
        <v>18692082.249166664</v>
      </c>
      <c r="EE125" s="1492">
        <v>20241248</v>
      </c>
      <c r="EF125" s="1492">
        <v>18692082.249166664</v>
      </c>
      <c r="EG125" s="1492">
        <v>20958617</v>
      </c>
      <c r="EH125" s="1479">
        <v>19539243.098761301</v>
      </c>
      <c r="EI125" s="1479">
        <v>20074671</v>
      </c>
      <c r="EJ125" s="1479">
        <v>17568954.881295301</v>
      </c>
      <c r="EK125" s="1479">
        <v>20274446</v>
      </c>
      <c r="EL125" s="1479">
        <v>19188281.476843201</v>
      </c>
      <c r="EM125" s="1479">
        <v>20202228</v>
      </c>
      <c r="EN125" s="1479">
        <v>20429577.910638299</v>
      </c>
      <c r="EO125" s="1479">
        <v>19477987</v>
      </c>
      <c r="EP125" s="1479">
        <v>18959624.448905099</v>
      </c>
      <c r="EQ125" s="1479">
        <v>21261722</v>
      </c>
      <c r="ER125" s="1479">
        <v>20136949.6408525</v>
      </c>
      <c r="ES125" s="1479">
        <v>19237529</v>
      </c>
      <c r="ET125" s="1479">
        <v>17946927.3996468</v>
      </c>
      <c r="EU125" s="1479">
        <v>19552010</v>
      </c>
      <c r="EV125" s="1479">
        <v>16554088.148006</v>
      </c>
      <c r="EW125" s="1479">
        <v>15629916</v>
      </c>
      <c r="EX125" s="1479">
        <v>17594140.3234079</v>
      </c>
      <c r="EY125" s="1479">
        <v>19468057</v>
      </c>
      <c r="EZ125" s="1479">
        <v>21338054.131797601</v>
      </c>
      <c r="FA125" s="1479">
        <v>19962758</v>
      </c>
      <c r="FB125" s="1479">
        <v>19717323.248657599</v>
      </c>
      <c r="FC125" s="1479">
        <v>17808344</v>
      </c>
      <c r="FD125" s="1479">
        <v>35000000</v>
      </c>
      <c r="FE125" s="1479">
        <v>22392936</v>
      </c>
      <c r="FF125" s="1479">
        <v>33000000</v>
      </c>
      <c r="FG125" s="1479">
        <v>15488443</v>
      </c>
      <c r="FH125" s="1479">
        <v>31000000</v>
      </c>
      <c r="FI125" s="1479">
        <v>16586685</v>
      </c>
      <c r="FJ125" s="1479">
        <v>32000000</v>
      </c>
      <c r="FK125" s="1479">
        <v>18150743</v>
      </c>
      <c r="FL125" s="1479">
        <v>33000000</v>
      </c>
      <c r="FM125" s="1479">
        <v>19119633</v>
      </c>
      <c r="FN125" s="1479">
        <v>31000000</v>
      </c>
      <c r="FO125" s="1448">
        <v>12718747</v>
      </c>
      <c r="FP125" s="1448">
        <v>33000000</v>
      </c>
      <c r="FQ125" s="1448">
        <v>20647646</v>
      </c>
      <c r="FR125" s="1448">
        <v>31000000</v>
      </c>
      <c r="FS125" s="1448">
        <v>22013154</v>
      </c>
      <c r="FT125" s="1448">
        <v>39000000</v>
      </c>
      <c r="FU125" s="1562">
        <v>-7689730</v>
      </c>
      <c r="FV125" s="1448">
        <v>40000000</v>
      </c>
      <c r="FW125" s="1448">
        <v>30929977</v>
      </c>
      <c r="FX125" s="1448">
        <v>40000000</v>
      </c>
      <c r="FY125" s="1448">
        <v>30376915</v>
      </c>
      <c r="FZ125" s="1448">
        <v>39000000</v>
      </c>
      <c r="GA125" s="1448">
        <v>21281402</v>
      </c>
      <c r="GB125" s="1448">
        <f>GF127+GD125</f>
        <v>0</v>
      </c>
      <c r="GC125" s="1448">
        <v>62465</v>
      </c>
      <c r="GD125" s="1425"/>
      <c r="GE125" s="1006"/>
    </row>
    <row r="126" spans="1:195" outlineLevel="1">
      <c r="B126" s="1443"/>
      <c r="H126" s="1022"/>
      <c r="I126" s="1022"/>
      <c r="J126" s="1022"/>
      <c r="K126" s="1022"/>
      <c r="L126" s="1022"/>
      <c r="M126" s="1022"/>
      <c r="N126" s="1022"/>
      <c r="S126" s="1561" t="s">
        <v>241</v>
      </c>
      <c r="T126" s="1482">
        <f t="shared" si="66"/>
        <v>1832817</v>
      </c>
      <c r="U126" s="1482">
        <f>SUMIF(Z$99:$AO$99,$U$99,Z126:AO126)</f>
        <v>172611</v>
      </c>
      <c r="V126" s="1483">
        <v>12481</v>
      </c>
      <c r="W126" s="1484">
        <f>'3-2) 손익계산서(월간)'!D33</f>
        <v>2384</v>
      </c>
      <c r="X126" s="1483">
        <v>1550064</v>
      </c>
      <c r="Y126" s="1484">
        <v>2480</v>
      </c>
      <c r="Z126" s="1485">
        <v>2479</v>
      </c>
      <c r="AA126" s="1484">
        <v>2038</v>
      </c>
      <c r="AB126" s="1486">
        <v>244684</v>
      </c>
      <c r="AC126" s="1484">
        <v>2039</v>
      </c>
      <c r="AD126" s="1487">
        <v>4749</v>
      </c>
      <c r="AE126" s="1484">
        <v>2276</v>
      </c>
      <c r="AF126" s="1485">
        <v>20930</v>
      </c>
      <c r="AG126" s="1484">
        <v>71720</v>
      </c>
      <c r="AH126" s="1485">
        <v>2334</v>
      </c>
      <c r="AI126" s="1484">
        <v>56817</v>
      </c>
      <c r="AJ126" s="1485">
        <v>2334</v>
      </c>
      <c r="AK126" s="1484">
        <v>2143</v>
      </c>
      <c r="AL126" s="1485">
        <v>2334</v>
      </c>
      <c r="AM126" s="1484">
        <v>15301</v>
      </c>
      <c r="AN126" s="1485">
        <v>2909</v>
      </c>
      <c r="AO126" s="1484">
        <v>20277</v>
      </c>
      <c r="AP126" s="1485">
        <v>2293</v>
      </c>
      <c r="AQ126" s="1484">
        <v>43886</v>
      </c>
      <c r="AR126" s="1488">
        <v>2414</v>
      </c>
      <c r="AS126" s="1484">
        <v>2335</v>
      </c>
      <c r="AT126" s="1488">
        <v>12481</v>
      </c>
      <c r="AU126" s="1489">
        <v>2398</v>
      </c>
      <c r="AV126" s="1488">
        <v>1550064</v>
      </c>
      <c r="AW126" s="1489">
        <v>2286</v>
      </c>
      <c r="AX126" s="1488">
        <v>2479</v>
      </c>
      <c r="AY126" s="1489">
        <v>10835</v>
      </c>
      <c r="AZ126" s="1488">
        <v>244684</v>
      </c>
      <c r="BA126" s="1489">
        <v>28332</v>
      </c>
      <c r="BB126" s="1488">
        <v>4749</v>
      </c>
      <c r="BC126" s="1489">
        <v>2263</v>
      </c>
      <c r="BD126" s="1488">
        <v>2093</v>
      </c>
      <c r="BE126" s="1489">
        <v>2260</v>
      </c>
      <c r="BF126" s="1488">
        <v>2093</v>
      </c>
      <c r="BG126" s="1489">
        <v>2384</v>
      </c>
      <c r="BH126" s="1488">
        <v>2180</v>
      </c>
      <c r="BI126" s="1484">
        <v>2293</v>
      </c>
      <c r="BJ126" s="1488">
        <v>2334</v>
      </c>
      <c r="BK126" s="1484">
        <v>2354</v>
      </c>
      <c r="BL126" s="1488">
        <v>2909</v>
      </c>
      <c r="BM126" s="1489">
        <v>74823</v>
      </c>
      <c r="BN126" s="1488">
        <v>34896</v>
      </c>
      <c r="BO126" s="1484">
        <v>2293</v>
      </c>
      <c r="BP126" s="1489">
        <v>14907</v>
      </c>
      <c r="BQ126" s="1484">
        <v>2414</v>
      </c>
      <c r="BR126" s="1489">
        <v>7135</v>
      </c>
      <c r="BS126" s="1484">
        <v>12481</v>
      </c>
      <c r="BT126" s="1489">
        <v>2311</v>
      </c>
      <c r="BU126" s="1484">
        <v>1550064</v>
      </c>
      <c r="BV126" s="1489">
        <v>2288</v>
      </c>
      <c r="BW126" s="1484">
        <v>2479</v>
      </c>
      <c r="BX126" s="1482">
        <v>27402</v>
      </c>
      <c r="BY126" s="1482">
        <v>244684</v>
      </c>
      <c r="BZ126" s="1482">
        <v>24749</v>
      </c>
      <c r="CA126" s="1482">
        <v>4749</v>
      </c>
      <c r="CB126" s="1482">
        <v>33416</v>
      </c>
      <c r="CC126" s="1482">
        <v>2093</v>
      </c>
      <c r="CD126" s="1482"/>
      <c r="CE126" s="1482">
        <v>2093</v>
      </c>
      <c r="CF126" s="1482"/>
      <c r="CG126" s="1472">
        <v>2180</v>
      </c>
      <c r="CH126" s="1482"/>
      <c r="CI126" s="1472">
        <v>2334</v>
      </c>
      <c r="CJ126" s="1472"/>
      <c r="CK126" s="1472">
        <v>2909</v>
      </c>
      <c r="CL126" s="1472"/>
      <c r="CM126" s="1472">
        <v>34896</v>
      </c>
      <c r="CN126" s="1472"/>
      <c r="CO126" s="1472">
        <v>14907</v>
      </c>
      <c r="CP126" s="1472"/>
      <c r="CQ126" s="1472">
        <v>7135</v>
      </c>
      <c r="CR126" s="1472"/>
      <c r="CS126" s="1472">
        <v>2311</v>
      </c>
      <c r="CT126" s="1472">
        <v>0</v>
      </c>
      <c r="CU126" s="1472">
        <v>2288</v>
      </c>
      <c r="CV126" s="1472">
        <v>0</v>
      </c>
      <c r="CW126" s="1472">
        <v>27402</v>
      </c>
      <c r="CX126" s="1472">
        <v>0</v>
      </c>
      <c r="CY126" s="1472">
        <v>24749</v>
      </c>
      <c r="CZ126" s="1472">
        <v>0</v>
      </c>
      <c r="DA126" s="1472">
        <v>33416</v>
      </c>
      <c r="DB126" s="1472">
        <v>0</v>
      </c>
      <c r="DC126" s="1472">
        <v>14827</v>
      </c>
      <c r="DD126" s="1472"/>
      <c r="DE126" s="1472">
        <v>29966</v>
      </c>
      <c r="DF126" s="1472"/>
      <c r="DG126" s="1472">
        <v>7393</v>
      </c>
      <c r="DH126" s="1472"/>
      <c r="DI126" s="1482">
        <v>6863</v>
      </c>
      <c r="DJ126" s="1472"/>
      <c r="DK126" s="1482">
        <v>2655</v>
      </c>
      <c r="DL126" s="1472"/>
      <c r="DM126" s="1482">
        <v>7412</v>
      </c>
      <c r="DN126" s="1472"/>
      <c r="DO126" s="1482">
        <v>19516</v>
      </c>
      <c r="DP126" s="1472"/>
      <c r="DQ126" s="1482">
        <v>2142953</v>
      </c>
      <c r="DR126" s="1472"/>
      <c r="DS126" s="1482">
        <v>83064</v>
      </c>
      <c r="DT126" s="1472"/>
      <c r="DU126" s="1472">
        <v>624996</v>
      </c>
      <c r="DV126" s="1472">
        <v>0</v>
      </c>
      <c r="DW126" s="1472">
        <v>4141</v>
      </c>
      <c r="DX126" s="1472">
        <v>0</v>
      </c>
      <c r="DY126" s="1492">
        <v>228421</v>
      </c>
      <c r="DZ126" s="1472">
        <v>0</v>
      </c>
      <c r="EA126" s="1492">
        <v>188636</v>
      </c>
      <c r="EB126" s="1472">
        <v>0</v>
      </c>
      <c r="EC126" s="1492">
        <v>37986</v>
      </c>
      <c r="ED126" s="1472">
        <v>0</v>
      </c>
      <c r="EE126" s="1492">
        <v>229397</v>
      </c>
      <c r="EF126" s="1492">
        <v>0</v>
      </c>
      <c r="EG126" s="1492">
        <v>378234</v>
      </c>
      <c r="EH126" s="1479">
        <v>0</v>
      </c>
      <c r="EI126" s="1479">
        <v>365612</v>
      </c>
      <c r="EJ126" s="1479">
        <v>0</v>
      </c>
      <c r="EK126" s="1479">
        <v>4037</v>
      </c>
      <c r="EL126" s="1479">
        <v>0</v>
      </c>
      <c r="EM126" s="1479">
        <v>39307142</v>
      </c>
      <c r="EN126" s="1479">
        <v>0</v>
      </c>
      <c r="EO126" s="1479">
        <v>33394</v>
      </c>
      <c r="EP126" s="1479">
        <v>0</v>
      </c>
      <c r="EQ126" s="1479">
        <v>3927</v>
      </c>
      <c r="ER126" s="1479">
        <v>0</v>
      </c>
      <c r="ES126" s="1479">
        <v>146821</v>
      </c>
      <c r="ET126" s="1479">
        <v>0</v>
      </c>
      <c r="EU126" s="1479">
        <v>15128</v>
      </c>
      <c r="EV126" s="1479">
        <v>0</v>
      </c>
      <c r="EW126" s="1479">
        <v>29423</v>
      </c>
      <c r="EX126" s="1479">
        <v>0</v>
      </c>
      <c r="EY126" s="1479">
        <v>15336</v>
      </c>
      <c r="EZ126" s="1479">
        <v>0</v>
      </c>
      <c r="FA126" s="1479">
        <v>18692</v>
      </c>
      <c r="FB126" s="1479">
        <v>0</v>
      </c>
      <c r="FC126" s="1479">
        <v>2981</v>
      </c>
      <c r="FD126" s="1479">
        <v>0</v>
      </c>
      <c r="FE126" s="1479">
        <v>2342</v>
      </c>
      <c r="FF126" s="1479">
        <v>0</v>
      </c>
      <c r="FG126" s="1479">
        <v>25283</v>
      </c>
      <c r="FH126" s="1479">
        <v>0</v>
      </c>
      <c r="FI126" s="1479">
        <v>2339</v>
      </c>
      <c r="FJ126" s="1479">
        <v>0</v>
      </c>
      <c r="FK126" s="1479">
        <v>45402</v>
      </c>
      <c r="FL126" s="1479">
        <v>0</v>
      </c>
      <c r="FM126" s="1479">
        <v>1764</v>
      </c>
      <c r="FN126" s="1479">
        <v>0</v>
      </c>
      <c r="FO126" s="1448">
        <v>2121</v>
      </c>
      <c r="FP126" s="1448">
        <v>0</v>
      </c>
      <c r="FQ126" s="1448">
        <v>2248</v>
      </c>
      <c r="FR126" s="1448">
        <v>0</v>
      </c>
      <c r="FS126" s="1448">
        <v>11258</v>
      </c>
      <c r="FT126" s="1479">
        <v>0</v>
      </c>
      <c r="FU126" s="1479">
        <v>77308</v>
      </c>
      <c r="FV126" s="1479">
        <v>0</v>
      </c>
      <c r="FW126" s="1479">
        <v>11427</v>
      </c>
      <c r="FX126" s="1479">
        <v>0</v>
      </c>
      <c r="FY126" s="1479">
        <v>26479</v>
      </c>
      <c r="FZ126" s="1479">
        <v>0</v>
      </c>
      <c r="GA126" s="1479">
        <v>2203</v>
      </c>
      <c r="GB126" s="1479"/>
      <c r="GC126" s="1479">
        <v>0</v>
      </c>
      <c r="GD126" s="1425"/>
    </row>
    <row r="127" spans="1:195" outlineLevel="1">
      <c r="B127" s="1443"/>
      <c r="K127" s="1022"/>
      <c r="L127" s="1022"/>
      <c r="M127" s="1022"/>
      <c r="N127" s="1022"/>
      <c r="S127" s="1561" t="s">
        <v>224</v>
      </c>
      <c r="T127" s="1482">
        <f t="shared" si="66"/>
        <v>5740499997</v>
      </c>
      <c r="U127" s="1482">
        <f>SUMIF(Z$99:$AO$99,$U$99,Z127:AO127)</f>
        <v>5107937755</v>
      </c>
      <c r="V127" s="1483">
        <v>637833333</v>
      </c>
      <c r="W127" s="1484">
        <f>'3-2) 손익계산서(월간)'!D35</f>
        <v>648289614</v>
      </c>
      <c r="X127" s="1483">
        <v>637833333</v>
      </c>
      <c r="Y127" s="1484">
        <v>627377046</v>
      </c>
      <c r="Z127" s="1485">
        <v>637833333</v>
      </c>
      <c r="AA127" s="1484">
        <v>648289614</v>
      </c>
      <c r="AB127" s="1486">
        <v>637833333</v>
      </c>
      <c r="AC127" s="1484">
        <v>627377046</v>
      </c>
      <c r="AD127" s="1487">
        <v>637833333</v>
      </c>
      <c r="AE127" s="1484">
        <v>648289614</v>
      </c>
      <c r="AF127" s="1485">
        <v>637833333</v>
      </c>
      <c r="AG127" s="1484">
        <v>606464480</v>
      </c>
      <c r="AH127" s="1485">
        <v>637833333</v>
      </c>
      <c r="AI127" s="1484">
        <v>648289614</v>
      </c>
      <c r="AJ127" s="1485">
        <v>637833333</v>
      </c>
      <c r="AK127" s="1484">
        <v>650065750</v>
      </c>
      <c r="AL127" s="1485">
        <v>637833333</v>
      </c>
      <c r="AM127" s="1484">
        <v>629095887</v>
      </c>
      <c r="AN127" s="1485">
        <v>637833333</v>
      </c>
      <c r="AO127" s="1484">
        <v>650065750</v>
      </c>
      <c r="AP127" s="1485">
        <v>637833333</v>
      </c>
      <c r="AQ127" s="1484">
        <v>629095887</v>
      </c>
      <c r="AR127" s="1488">
        <v>637833333</v>
      </c>
      <c r="AS127" s="1484">
        <v>650065750</v>
      </c>
      <c r="AT127" s="1488">
        <v>637833333</v>
      </c>
      <c r="AU127" s="1489">
        <v>650065750</v>
      </c>
      <c r="AV127" s="1488">
        <v>637833333</v>
      </c>
      <c r="AW127" s="1489">
        <v>629095887</v>
      </c>
      <c r="AX127" s="1488">
        <v>637833333</v>
      </c>
      <c r="AY127" s="1489">
        <v>650065750</v>
      </c>
      <c r="AZ127" s="1488">
        <v>637833333</v>
      </c>
      <c r="BA127" s="1489">
        <v>629095887</v>
      </c>
      <c r="BB127" s="1488">
        <v>637833333</v>
      </c>
      <c r="BC127" s="1489">
        <v>650065750</v>
      </c>
      <c r="BD127" s="1488">
        <v>637833333</v>
      </c>
      <c r="BE127" s="1489">
        <v>587156162</v>
      </c>
      <c r="BF127" s="1488">
        <v>637833333</v>
      </c>
      <c r="BG127" s="1489">
        <v>650065750</v>
      </c>
      <c r="BH127" s="1488">
        <v>637833333</v>
      </c>
      <c r="BI127" s="1484">
        <v>650065750</v>
      </c>
      <c r="BJ127" s="1488">
        <v>637833333</v>
      </c>
      <c r="BK127" s="1484">
        <v>629095887</v>
      </c>
      <c r="BL127" s="1488">
        <v>637833333</v>
      </c>
      <c r="BM127" s="1484">
        <v>650065750</v>
      </c>
      <c r="BN127" s="1488">
        <v>637833333</v>
      </c>
      <c r="BO127" s="1484">
        <v>629095887</v>
      </c>
      <c r="BP127" s="1489">
        <v>637833333</v>
      </c>
      <c r="BQ127" s="1484">
        <v>650065750</v>
      </c>
      <c r="BR127" s="1489">
        <v>637833333</v>
      </c>
      <c r="BS127" s="1484">
        <v>650065750</v>
      </c>
      <c r="BT127" s="1489">
        <v>637833333</v>
      </c>
      <c r="BU127" s="1484">
        <v>629095887</v>
      </c>
      <c r="BV127" s="1489">
        <v>637833333</v>
      </c>
      <c r="BW127" s="1484">
        <v>650065750</v>
      </c>
      <c r="BX127" s="1482">
        <v>637833333.33333302</v>
      </c>
      <c r="BY127" s="1482">
        <v>629095887</v>
      </c>
      <c r="BZ127" s="1482">
        <v>637833333.33333302</v>
      </c>
      <c r="CA127" s="1482">
        <v>653446143</v>
      </c>
      <c r="CB127" s="1482">
        <v>637833333.33333302</v>
      </c>
      <c r="CC127" s="1482">
        <v>585551911</v>
      </c>
      <c r="CD127" s="1482">
        <v>637833333.33333302</v>
      </c>
      <c r="CE127" s="1482">
        <v>585551911</v>
      </c>
      <c r="CF127" s="1482">
        <v>637833333.33333302</v>
      </c>
      <c r="CG127" s="1482">
        <v>650065750</v>
      </c>
      <c r="CH127" s="1482">
        <v>637833333.33333302</v>
      </c>
      <c r="CI127" s="1482">
        <v>629095887</v>
      </c>
      <c r="CJ127" s="1472">
        <v>637833333.33333337</v>
      </c>
      <c r="CK127" s="1482">
        <v>650065750</v>
      </c>
      <c r="CL127" s="1472">
        <v>637833333.33333302</v>
      </c>
      <c r="CM127" s="1482">
        <v>740137671</v>
      </c>
      <c r="CN127" s="1472">
        <v>691997457.53424656</v>
      </c>
      <c r="CO127" s="1482">
        <v>691997455</v>
      </c>
      <c r="CP127" s="1472">
        <v>691997457.53424656</v>
      </c>
      <c r="CQ127" s="1482">
        <v>691997455</v>
      </c>
      <c r="CR127" s="1472">
        <v>669674958.9041096</v>
      </c>
      <c r="CS127" s="1482">
        <v>669674956</v>
      </c>
      <c r="CT127" s="1472">
        <v>691997457.53424656</v>
      </c>
      <c r="CU127" s="1482">
        <v>691997455</v>
      </c>
      <c r="CV127" s="1472">
        <v>669674958.9041096</v>
      </c>
      <c r="CW127" s="1482">
        <v>669674956</v>
      </c>
      <c r="CX127" s="1472">
        <v>691997457.53424656</v>
      </c>
      <c r="CY127" s="1482">
        <v>691997455</v>
      </c>
      <c r="CZ127" s="1472">
        <v>625029961.64383554</v>
      </c>
      <c r="DA127" s="1482">
        <v>625029960</v>
      </c>
      <c r="DB127" s="1472">
        <v>691997457.53424656</v>
      </c>
      <c r="DC127" s="1482">
        <v>691997455</v>
      </c>
      <c r="DD127" s="1472">
        <v>690106754.09836054</v>
      </c>
      <c r="DE127" s="1482">
        <v>690106751</v>
      </c>
      <c r="DF127" s="1472">
        <v>667845245.90163934</v>
      </c>
      <c r="DG127" s="1482">
        <v>667845242</v>
      </c>
      <c r="DH127" s="1472">
        <v>690106754.09836054</v>
      </c>
      <c r="DI127" s="1482">
        <v>690106751</v>
      </c>
      <c r="DJ127" s="1472">
        <v>667845245.90163934</v>
      </c>
      <c r="DK127" s="1482">
        <v>667845242</v>
      </c>
      <c r="DL127" s="1472">
        <v>690106754.09836054</v>
      </c>
      <c r="DM127" s="1482">
        <v>690106751</v>
      </c>
      <c r="DN127" s="1472">
        <v>690106754.09836054</v>
      </c>
      <c r="DO127" s="1482">
        <v>690106751</v>
      </c>
      <c r="DP127" s="1472">
        <v>667845245.90163934</v>
      </c>
      <c r="DQ127" s="1482">
        <v>667845242</v>
      </c>
      <c r="DR127" s="1472">
        <v>690106754.09836054</v>
      </c>
      <c r="DS127" s="1482">
        <v>690106751</v>
      </c>
      <c r="DT127" s="1472">
        <v>667845245.90163934</v>
      </c>
      <c r="DU127" s="1472">
        <v>667845242</v>
      </c>
      <c r="DV127" s="1472">
        <v>690106754.09836054</v>
      </c>
      <c r="DW127" s="1472">
        <v>690106751</v>
      </c>
      <c r="DX127" s="1472">
        <v>645583737.70491803</v>
      </c>
      <c r="DY127" s="1492">
        <v>645583735</v>
      </c>
      <c r="DZ127" s="1472">
        <v>690106754.09836054</v>
      </c>
      <c r="EA127" s="1492">
        <v>690106751</v>
      </c>
      <c r="EB127" s="1472">
        <v>691997457.53424656</v>
      </c>
      <c r="EC127" s="1492">
        <v>691997455</v>
      </c>
      <c r="ED127" s="1472">
        <v>669674958.9041096</v>
      </c>
      <c r="EE127" s="1492">
        <v>669674956</v>
      </c>
      <c r="EF127" s="1492">
        <v>691997457.53424656</v>
      </c>
      <c r="EG127" s="1492">
        <v>691997455</v>
      </c>
      <c r="EH127" s="1479">
        <v>678976000</v>
      </c>
      <c r="EI127" s="1479">
        <v>669674958</v>
      </c>
      <c r="EJ127" s="1479">
        <v>678976000</v>
      </c>
      <c r="EK127" s="1479">
        <v>691997459</v>
      </c>
      <c r="EL127" s="1479">
        <v>678976000</v>
      </c>
      <c r="EM127" s="1479">
        <v>691997456</v>
      </c>
      <c r="EN127" s="1479">
        <v>678976000</v>
      </c>
      <c r="EO127" s="1479">
        <v>669674958</v>
      </c>
      <c r="EP127" s="1479">
        <v>678976000</v>
      </c>
      <c r="EQ127" s="1479">
        <v>691997459</v>
      </c>
      <c r="ER127" s="1479">
        <v>678976000</v>
      </c>
      <c r="ES127" s="1479">
        <v>669674957</v>
      </c>
      <c r="ET127" s="1479">
        <v>678976000</v>
      </c>
      <c r="EU127" s="1479">
        <v>691997459</v>
      </c>
      <c r="EV127" s="1479">
        <v>678976000</v>
      </c>
      <c r="EW127" s="1479">
        <v>625029957</v>
      </c>
      <c r="EX127" s="1479">
        <v>678976000</v>
      </c>
      <c r="EY127" s="1479">
        <v>691997458</v>
      </c>
      <c r="EZ127" s="1479">
        <v>678976000</v>
      </c>
      <c r="FA127" s="1479">
        <v>691997458</v>
      </c>
      <c r="FB127" s="1479">
        <v>678976000</v>
      </c>
      <c r="FC127" s="1479">
        <v>669674956</v>
      </c>
      <c r="FD127" s="1479">
        <v>679000000</v>
      </c>
      <c r="FE127" s="1479">
        <v>691997458</v>
      </c>
      <c r="FF127" s="1479">
        <v>679000000</v>
      </c>
      <c r="FG127" s="1479">
        <v>669674958</v>
      </c>
      <c r="FH127" s="1479">
        <v>679000000</v>
      </c>
      <c r="FI127" s="1479">
        <v>691997454</v>
      </c>
      <c r="FJ127" s="1479">
        <v>679000000</v>
      </c>
      <c r="FK127" s="1479">
        <v>691997459</v>
      </c>
      <c r="FL127" s="1479">
        <v>679000000</v>
      </c>
      <c r="FM127" s="1479">
        <v>669674958</v>
      </c>
      <c r="FN127" s="1479">
        <v>679000000</v>
      </c>
      <c r="FO127" s="1448">
        <v>691997459</v>
      </c>
      <c r="FP127" s="1448">
        <v>679000000</v>
      </c>
      <c r="FQ127" s="1448">
        <v>669674956</v>
      </c>
      <c r="FR127" s="1448">
        <v>679000000</v>
      </c>
      <c r="FS127" s="1448">
        <v>691997458</v>
      </c>
      <c r="FT127" s="1479">
        <v>679000000</v>
      </c>
      <c r="FU127" s="1479">
        <v>625029958</v>
      </c>
      <c r="FV127" s="1479">
        <v>735000000</v>
      </c>
      <c r="FW127" s="1479">
        <v>677028691</v>
      </c>
      <c r="FX127" s="1479">
        <v>735000000</v>
      </c>
      <c r="FY127" s="1479">
        <v>706996361</v>
      </c>
      <c r="FZ127" s="1479">
        <v>735000000</v>
      </c>
      <c r="GA127" s="1479">
        <v>501739353</v>
      </c>
      <c r="GB127" s="1479"/>
      <c r="GC127" s="1479"/>
      <c r="GD127" s="1425"/>
    </row>
    <row r="128" spans="1:195" outlineLevel="1">
      <c r="K128" s="1022"/>
      <c r="L128" s="1022"/>
      <c r="M128" s="1022"/>
      <c r="N128" s="1022"/>
      <c r="S128" s="1561" t="s">
        <v>242</v>
      </c>
      <c r="T128" s="1482">
        <f t="shared" si="66"/>
        <v>0</v>
      </c>
      <c r="U128" s="1482">
        <f>SUMIF(Z$99:$AO$99,$U$99,Z128:AO128)</f>
        <v>0</v>
      </c>
      <c r="V128" s="1483">
        <v>0</v>
      </c>
      <c r="W128" s="1484">
        <f>'3-2) 손익계산서(월간)'!D36</f>
        <v>0</v>
      </c>
      <c r="X128" s="1483"/>
      <c r="Y128" s="1484">
        <v>0</v>
      </c>
      <c r="Z128" s="1495">
        <v>0</v>
      </c>
      <c r="AA128" s="1474">
        <v>0</v>
      </c>
      <c r="AB128" s="1476">
        <v>0</v>
      </c>
      <c r="AC128" s="1474">
        <v>0</v>
      </c>
      <c r="AD128" s="1476"/>
      <c r="AE128" s="1474">
        <v>0</v>
      </c>
      <c r="AF128" s="1495"/>
      <c r="AG128" s="1474">
        <v>0</v>
      </c>
      <c r="AH128" s="1495"/>
      <c r="AI128" s="1474">
        <v>0</v>
      </c>
      <c r="AJ128" s="1495"/>
      <c r="AK128" s="1474">
        <v>0</v>
      </c>
      <c r="AL128" s="1495"/>
      <c r="AM128" s="1474">
        <v>0</v>
      </c>
      <c r="AN128" s="1495"/>
      <c r="AO128" s="1474">
        <v>0</v>
      </c>
      <c r="AP128" s="1495"/>
      <c r="AQ128" s="1474">
        <v>0</v>
      </c>
      <c r="AR128" s="1479"/>
      <c r="AS128" s="1474">
        <v>0</v>
      </c>
      <c r="AT128" s="1479"/>
      <c r="AU128" s="1479">
        <v>0</v>
      </c>
      <c r="AV128" s="1479"/>
      <c r="AW128" s="1479">
        <v>86697325</v>
      </c>
      <c r="AX128" s="1479"/>
      <c r="AY128" s="1479">
        <v>0</v>
      </c>
      <c r="AZ128" s="1479"/>
      <c r="BA128" s="1479">
        <v>0</v>
      </c>
      <c r="BB128" s="1479"/>
      <c r="BC128" s="1479">
        <v>0</v>
      </c>
      <c r="BD128" s="1479"/>
      <c r="BE128" s="1479">
        <v>0</v>
      </c>
      <c r="BF128" s="1479"/>
      <c r="BG128" s="1479">
        <v>0</v>
      </c>
      <c r="BH128" s="1479"/>
      <c r="BI128" s="1474">
        <v>0</v>
      </c>
      <c r="BJ128" s="1479"/>
      <c r="BK128" s="1474">
        <v>0</v>
      </c>
      <c r="BL128" s="1479"/>
      <c r="BM128" s="1474">
        <v>0</v>
      </c>
      <c r="BN128" s="1479"/>
      <c r="BO128" s="1474">
        <v>0</v>
      </c>
      <c r="BP128" s="1479"/>
      <c r="BQ128" s="1474">
        <v>140689</v>
      </c>
      <c r="BR128" s="1479"/>
      <c r="BS128" s="1474">
        <v>0</v>
      </c>
      <c r="BT128" s="1479"/>
      <c r="BU128" s="1474">
        <v>0</v>
      </c>
      <c r="BV128" s="1479"/>
      <c r="BW128" s="1474">
        <v>0</v>
      </c>
      <c r="BX128" s="1472"/>
      <c r="BY128" s="1472">
        <v>0</v>
      </c>
      <c r="BZ128" s="1472"/>
      <c r="CA128" s="1472">
        <v>0</v>
      </c>
      <c r="CB128" s="1472">
        <v>0</v>
      </c>
      <c r="CC128" s="1472">
        <v>0</v>
      </c>
      <c r="CD128" s="1472"/>
      <c r="CE128" s="1472">
        <v>0</v>
      </c>
      <c r="CF128" s="1472"/>
      <c r="CG128" s="1472">
        <v>0</v>
      </c>
      <c r="CH128" s="1472"/>
      <c r="CI128" s="1472">
        <v>590</v>
      </c>
      <c r="CJ128" s="1472"/>
      <c r="CK128" s="1472">
        <v>0</v>
      </c>
      <c r="CL128" s="1472"/>
      <c r="CM128" s="1472">
        <v>87164626</v>
      </c>
      <c r="CN128" s="1472"/>
      <c r="CO128" s="1472"/>
      <c r="CP128" s="1472"/>
      <c r="CQ128" s="1472"/>
      <c r="CR128" s="1472"/>
      <c r="CS128" s="1472"/>
      <c r="CT128" s="1472">
        <v>0</v>
      </c>
      <c r="CU128" s="1472"/>
      <c r="CV128" s="1472"/>
      <c r="CW128" s="1472"/>
      <c r="CX128" s="1472"/>
      <c r="CY128" s="1472"/>
      <c r="CZ128" s="1472"/>
      <c r="DA128" s="1472"/>
      <c r="DB128" s="1472"/>
      <c r="DC128" s="1472"/>
      <c r="DD128" s="1472"/>
      <c r="DE128" s="1472"/>
      <c r="DF128" s="1472"/>
      <c r="DG128" s="1472"/>
      <c r="DH128" s="1472"/>
      <c r="DI128" s="1482"/>
      <c r="DJ128" s="1472"/>
      <c r="DK128" s="1472"/>
      <c r="DL128" s="1472"/>
      <c r="DM128" s="1482"/>
      <c r="DN128" s="1472">
        <v>0</v>
      </c>
      <c r="DO128" s="1482"/>
      <c r="DP128" s="1472"/>
      <c r="DQ128" s="1482"/>
      <c r="DR128" s="1472"/>
      <c r="DS128" s="1482"/>
      <c r="DT128" s="1472"/>
      <c r="DU128" s="1472">
        <v>0</v>
      </c>
      <c r="DV128" s="1472">
        <v>0</v>
      </c>
      <c r="DW128" s="1472">
        <v>0</v>
      </c>
      <c r="DX128" s="1472">
        <v>0</v>
      </c>
      <c r="DY128" s="1492">
        <v>0</v>
      </c>
      <c r="DZ128" s="1472">
        <v>0</v>
      </c>
      <c r="EA128" s="1492">
        <v>0</v>
      </c>
      <c r="EB128" s="1472">
        <v>0</v>
      </c>
      <c r="EC128" s="1492">
        <v>0</v>
      </c>
      <c r="ED128" s="1472">
        <v>0</v>
      </c>
      <c r="EE128" s="1492">
        <v>0</v>
      </c>
      <c r="EF128" s="1492">
        <v>0</v>
      </c>
      <c r="EG128" s="1492">
        <v>0</v>
      </c>
      <c r="EH128" s="1479">
        <v>0</v>
      </c>
      <c r="EI128" s="1479">
        <v>0</v>
      </c>
      <c r="EJ128" s="1479">
        <v>0</v>
      </c>
      <c r="EK128" s="1479">
        <v>0</v>
      </c>
      <c r="EL128" s="1479">
        <v>0</v>
      </c>
      <c r="EM128" s="1479">
        <v>0</v>
      </c>
      <c r="EN128" s="1479">
        <v>0</v>
      </c>
      <c r="EO128" s="1479">
        <v>0</v>
      </c>
      <c r="EP128" s="1479">
        <v>0</v>
      </c>
      <c r="EQ128" s="1479">
        <v>0</v>
      </c>
      <c r="ER128" s="1479">
        <v>0</v>
      </c>
      <c r="ES128" s="1479">
        <v>0</v>
      </c>
      <c r="ET128" s="1479">
        <v>0</v>
      </c>
      <c r="EU128" s="1479">
        <v>0</v>
      </c>
      <c r="EV128" s="1479">
        <v>0</v>
      </c>
      <c r="EW128" s="1479">
        <v>0</v>
      </c>
      <c r="EX128" s="1479">
        <v>0</v>
      </c>
      <c r="EY128" s="1479">
        <v>0</v>
      </c>
      <c r="EZ128" s="1479">
        <v>0</v>
      </c>
      <c r="FA128" s="1479">
        <v>0</v>
      </c>
      <c r="FB128" s="1479">
        <v>0</v>
      </c>
      <c r="FC128" s="1479">
        <v>0</v>
      </c>
      <c r="FD128" s="1479">
        <v>0</v>
      </c>
      <c r="FE128" s="1479">
        <v>0</v>
      </c>
      <c r="FF128" s="1479">
        <v>0</v>
      </c>
      <c r="FG128" s="1479">
        <v>0</v>
      </c>
      <c r="FH128" s="1479">
        <v>0</v>
      </c>
      <c r="FI128" s="1479">
        <v>5</v>
      </c>
      <c r="FJ128" s="1479">
        <v>0</v>
      </c>
      <c r="FK128" s="1479">
        <v>0</v>
      </c>
      <c r="FL128" s="1479">
        <v>0</v>
      </c>
      <c r="FM128" s="1479">
        <v>0</v>
      </c>
      <c r="FN128" s="1479">
        <v>0</v>
      </c>
      <c r="FO128" s="1448">
        <v>0</v>
      </c>
      <c r="FP128" s="1448">
        <v>0</v>
      </c>
      <c r="FQ128" s="1448">
        <v>0</v>
      </c>
      <c r="FR128" s="1448">
        <v>0</v>
      </c>
      <c r="FS128" s="1448">
        <v>33000</v>
      </c>
      <c r="FT128" s="1479">
        <v>0</v>
      </c>
      <c r="FU128" s="1479">
        <v>9</v>
      </c>
      <c r="FV128" s="1479">
        <v>0</v>
      </c>
      <c r="FW128" s="1479">
        <v>4</v>
      </c>
      <c r="FX128" s="1479">
        <v>0</v>
      </c>
      <c r="FY128" s="1479">
        <v>870000</v>
      </c>
      <c r="FZ128" s="1479">
        <v>0</v>
      </c>
      <c r="GA128" s="1479">
        <v>0</v>
      </c>
      <c r="GB128" s="1479"/>
      <c r="GC128" s="1479"/>
      <c r="GD128" s="1425"/>
    </row>
    <row r="129" spans="2:186" ht="15.75" outlineLevel="1" thickBot="1">
      <c r="B129" s="1443" t="s">
        <v>1034</v>
      </c>
      <c r="S129" s="1563" t="s">
        <v>1035</v>
      </c>
      <c r="T129" s="1482">
        <f t="shared" si="66"/>
        <v>4461695856.9260435</v>
      </c>
      <c r="U129" s="1482">
        <f>SUMIF(Z$99:$AO$99,$U$99,Z129:AO129)</f>
        <v>3528086078</v>
      </c>
      <c r="V129" s="1564">
        <f>V124+V125+V126-V127-V128</f>
        <v>378096643.67566562</v>
      </c>
      <c r="W129" s="1565">
        <f>W124+W125+W126-W127-W128</f>
        <v>573587438</v>
      </c>
      <c r="X129" s="1564">
        <f>X124+X125+X126-X127-X128</f>
        <v>430265357.89159036</v>
      </c>
      <c r="Y129" s="1565">
        <v>392466487</v>
      </c>
      <c r="Z129" s="1566">
        <f t="shared" ref="Z129" si="67">Z124+Z125+Z126-Z127-Z128</f>
        <v>403901200.15756929</v>
      </c>
      <c r="AA129" s="1565">
        <v>289557681</v>
      </c>
      <c r="AB129" s="1567">
        <v>577030637.49493933</v>
      </c>
      <c r="AC129" s="1565">
        <v>624874483</v>
      </c>
      <c r="AD129" s="1568">
        <v>542284784</v>
      </c>
      <c r="AE129" s="1565">
        <v>350717326</v>
      </c>
      <c r="AF129" s="1566">
        <v>320523927</v>
      </c>
      <c r="AG129" s="1565">
        <v>348876895</v>
      </c>
      <c r="AH129" s="1566">
        <v>578447913</v>
      </c>
      <c r="AI129" s="1565">
        <v>564049888</v>
      </c>
      <c r="AJ129" s="1566">
        <f t="shared" ref="AJ129:AY129" si="68">AJ124+AJ125+AJ126-AJ127-AJ128</f>
        <v>568957224.38194442</v>
      </c>
      <c r="AK129" s="1565">
        <f t="shared" si="68"/>
        <v>558067373</v>
      </c>
      <c r="AL129" s="1566">
        <f t="shared" si="68"/>
        <v>526896734</v>
      </c>
      <c r="AM129" s="1565">
        <f t="shared" si="68"/>
        <v>494802190</v>
      </c>
      <c r="AN129" s="1566">
        <f t="shared" si="68"/>
        <v>513388079</v>
      </c>
      <c r="AO129" s="1565">
        <f t="shared" si="68"/>
        <v>297140242</v>
      </c>
      <c r="AP129" s="1566">
        <v>701635615</v>
      </c>
      <c r="AQ129" s="1565">
        <v>649797100</v>
      </c>
      <c r="AR129" s="1569">
        <v>367356760</v>
      </c>
      <c r="AS129" s="1565">
        <v>373584973.99999976</v>
      </c>
      <c r="AT129" s="1569">
        <f t="shared" ref="AT129" si="69">AT124+AT125+AT126-AT127-AT128</f>
        <v>364918230</v>
      </c>
      <c r="AU129" s="1562">
        <f>AU124+AU125+AU126-AU127-AU128</f>
        <v>379943870.99999976</v>
      </c>
      <c r="AV129" s="1569">
        <v>125951135</v>
      </c>
      <c r="AW129" s="1562">
        <v>25370280.999999762</v>
      </c>
      <c r="AX129" s="1569">
        <f t="shared" si="68"/>
        <v>288943114</v>
      </c>
      <c r="AY129" s="1562">
        <f t="shared" si="68"/>
        <v>230366344</v>
      </c>
      <c r="AZ129" s="1569">
        <f>AE124+AE125+AE126-AE127-AE128</f>
        <v>350717326</v>
      </c>
      <c r="BA129" s="1562">
        <f>BA124+BA125+BA126-BA127-BA128</f>
        <v>464280213.20000005</v>
      </c>
      <c r="BB129" s="1569">
        <f>BB124+BB125+BB126-BB127-BB128</f>
        <v>169022531</v>
      </c>
      <c r="BC129" s="1562">
        <f>BC124+BC125+BC126-BC127-BC128</f>
        <v>409170748</v>
      </c>
      <c r="BD129" s="1569">
        <v>455817021</v>
      </c>
      <c r="BE129" s="1562">
        <v>495398827</v>
      </c>
      <c r="BF129" s="1569">
        <v>565693079</v>
      </c>
      <c r="BG129" s="1562">
        <v>546945022.38709641</v>
      </c>
      <c r="BH129" s="1569">
        <v>523979009</v>
      </c>
      <c r="BI129" s="1565">
        <v>446727651.38709688</v>
      </c>
      <c r="BJ129" s="1569">
        <f>BJ124+BJ125+BJ126-BJ127-BJ128</f>
        <v>443222753</v>
      </c>
      <c r="BK129" s="1565">
        <f>BK124+BK125+BK126-BK127-BK128</f>
        <v>444504864</v>
      </c>
      <c r="BL129" s="1569">
        <f>BL124+BL125+BL126-BL127-BL128</f>
        <v>443846146</v>
      </c>
      <c r="BM129" s="1565">
        <v>432207956</v>
      </c>
      <c r="BN129" s="1569">
        <v>705067183</v>
      </c>
      <c r="BO129" s="1565">
        <v>643635379</v>
      </c>
      <c r="BP129" s="1569">
        <v>630265280</v>
      </c>
      <c r="BQ129" s="1565">
        <v>297488681</v>
      </c>
      <c r="BR129" s="1569">
        <v>342159594</v>
      </c>
      <c r="BS129" s="1565">
        <v>346629094</v>
      </c>
      <c r="BT129" s="1569">
        <v>351648700</v>
      </c>
      <c r="BU129" s="1565">
        <v>100007918</v>
      </c>
      <c r="BV129" s="1562">
        <f>BV124+BV125+BV126-BV127-BV128</f>
        <v>316823433</v>
      </c>
      <c r="BW129" s="1570">
        <f>BW124+BW125+BW126-BW127-BW128</f>
        <v>200877466</v>
      </c>
      <c r="BX129" s="1562">
        <f>BX124+BX125+BX126-BX127-BX128</f>
        <v>445710472.37851238</v>
      </c>
      <c r="BY129" s="1562">
        <f>BY124+BY125+BY126-BY127-BY128</f>
        <v>425140886</v>
      </c>
      <c r="BZ129" s="1562">
        <v>-290123234.20351553</v>
      </c>
      <c r="CA129" s="1562">
        <v>197343877.57142639</v>
      </c>
      <c r="CB129" s="1562">
        <v>545948645.23071289</v>
      </c>
      <c r="CC129" s="1562">
        <v>431502287</v>
      </c>
      <c r="CD129" s="1562">
        <v>420706398.62000728</v>
      </c>
      <c r="CE129" s="1562">
        <v>431502287</v>
      </c>
      <c r="CF129" s="1562">
        <v>501914736.58243942</v>
      </c>
      <c r="CG129" s="1562">
        <v>416070740</v>
      </c>
      <c r="CH129" s="1562">
        <f>CH124+CH125+CH126-CH127-CH128</f>
        <v>439900292.65604854</v>
      </c>
      <c r="CI129" s="1562">
        <v>326998235</v>
      </c>
      <c r="CJ129" s="1562">
        <f>CJ124+CJ125+CJ126-CJ127-CJ128</f>
        <v>375613585.33927774</v>
      </c>
      <c r="CK129" s="1562">
        <f>CK124+CK125+CK126-CK127-CK128</f>
        <v>344927926.35516667</v>
      </c>
      <c r="CL129" s="1562">
        <v>449331306.61822462</v>
      </c>
      <c r="CM129" s="1562">
        <v>-10740510428</v>
      </c>
      <c r="CN129" s="1562">
        <v>291722568.65955615</v>
      </c>
      <c r="CO129" s="1562">
        <v>312069483</v>
      </c>
      <c r="CP129" s="1562">
        <v>292074457.41955614</v>
      </c>
      <c r="CQ129" s="1562">
        <v>254121967</v>
      </c>
      <c r="CR129" s="1562">
        <v>-27444078.163640261</v>
      </c>
      <c r="CS129" s="1562">
        <v>-11214053</v>
      </c>
      <c r="CT129" s="1562">
        <v>134906795.1131047</v>
      </c>
      <c r="CU129" s="1562">
        <v>208288612</v>
      </c>
      <c r="CV129" s="1562">
        <v>279089714.53635979</v>
      </c>
      <c r="CW129" s="1562">
        <v>282998040</v>
      </c>
      <c r="CX129" s="1562">
        <v>169279640.88504553</v>
      </c>
      <c r="CY129" s="1562">
        <v>234814928</v>
      </c>
      <c r="CZ129" s="1562">
        <v>364328340.57029521</v>
      </c>
      <c r="DA129" s="1562">
        <v>410432530</v>
      </c>
      <c r="DB129" s="1562">
        <v>384136110.56762612</v>
      </c>
      <c r="DC129" s="1562">
        <v>437567420.51612854</v>
      </c>
      <c r="DD129" s="1562">
        <v>448759813.86630774</v>
      </c>
      <c r="DE129" s="1562">
        <v>502078377</v>
      </c>
      <c r="DF129" s="1562">
        <v>297746327.0707711</v>
      </c>
      <c r="DG129" s="1562">
        <v>320671233</v>
      </c>
      <c r="DH129" s="1562">
        <v>211283794.89985609</v>
      </c>
      <c r="DI129" s="1562">
        <v>263489710</v>
      </c>
      <c r="DJ129" s="1562">
        <v>645370795.93671906</v>
      </c>
      <c r="DK129" s="1562">
        <v>500448577</v>
      </c>
      <c r="DL129" s="1562">
        <v>304683063.70432508</v>
      </c>
      <c r="DM129" s="1562">
        <v>221677019</v>
      </c>
      <c r="DN129" s="1562">
        <v>346026792.27529275</v>
      </c>
      <c r="DO129" s="1562">
        <v>234519885.05439281</v>
      </c>
      <c r="DP129" s="1562">
        <v>68485537.421046257</v>
      </c>
      <c r="DQ129" s="1562">
        <v>-60335632.81869173</v>
      </c>
      <c r="DR129" s="1562">
        <v>144910287.17432499</v>
      </c>
      <c r="DS129" s="1489">
        <v>119514874</v>
      </c>
      <c r="DT129" s="1562">
        <v>342977750.20521295</v>
      </c>
      <c r="DU129" s="1479">
        <v>274945595</v>
      </c>
      <c r="DV129" s="1562">
        <v>445946704.76099706</v>
      </c>
      <c r="DW129" s="1479">
        <v>403566535</v>
      </c>
      <c r="DX129" s="1562">
        <v>344869418.14912987</v>
      </c>
      <c r="DY129" s="1492">
        <v>378647667</v>
      </c>
      <c r="DZ129" s="1562">
        <v>358831067.84949195</v>
      </c>
      <c r="EA129" s="1492">
        <v>424718656</v>
      </c>
      <c r="EB129" s="1562">
        <v>111501082.38554108</v>
      </c>
      <c r="EC129" s="1492">
        <v>299427047</v>
      </c>
      <c r="ED129" s="1562">
        <v>132008700.95890391</v>
      </c>
      <c r="EE129" s="1492">
        <v>67271252</v>
      </c>
      <c r="EF129" s="1562">
        <v>360137180.23908925</v>
      </c>
      <c r="EG129" s="1492">
        <v>365059550</v>
      </c>
      <c r="EH129" s="1562">
        <v>436958098.64703202</v>
      </c>
      <c r="EI129" s="1562">
        <v>559770577.00000048</v>
      </c>
      <c r="EJ129" s="1562">
        <v>401551015.71236682</v>
      </c>
      <c r="EK129" s="1562">
        <v>445489673.00000048</v>
      </c>
      <c r="EL129" s="1562">
        <v>397893853.39039898</v>
      </c>
      <c r="EM129" s="1562">
        <v>493629890</v>
      </c>
      <c r="EN129" s="1562">
        <v>278547155.08968711</v>
      </c>
      <c r="EO129" s="1562">
        <v>228839844.00000048</v>
      </c>
      <c r="EP129" s="1562">
        <v>24292443.268369198</v>
      </c>
      <c r="EQ129" s="1562">
        <v>30973721.333333492</v>
      </c>
      <c r="ER129" s="1562">
        <v>120931845.14267123</v>
      </c>
      <c r="ES129" s="1562">
        <v>146174249</v>
      </c>
      <c r="ET129" s="1562">
        <v>220865848.29768014</v>
      </c>
      <c r="EU129" s="1562">
        <v>225663722</v>
      </c>
      <c r="EV129" s="1562">
        <v>138032999.74818909</v>
      </c>
      <c r="EW129" s="1562">
        <v>201532738</v>
      </c>
      <c r="EX129" s="1562">
        <v>199121768.54349899</v>
      </c>
      <c r="EY129" s="1562">
        <v>176789474</v>
      </c>
      <c r="EZ129" s="1562">
        <v>-160859321.99882668</v>
      </c>
      <c r="FA129" s="1562">
        <v>-214478530</v>
      </c>
      <c r="FB129" s="1448">
        <v>227594113.8510437</v>
      </c>
      <c r="FC129" s="1448">
        <v>224585110</v>
      </c>
      <c r="FD129" s="1448">
        <v>417350254.38513994</v>
      </c>
      <c r="FE129" s="1448">
        <v>205846708</v>
      </c>
      <c r="FF129" s="1448">
        <v>524373451.93021011</v>
      </c>
      <c r="FG129" s="1448">
        <v>390988150.89999998</v>
      </c>
      <c r="FH129" s="1448">
        <v>497827457.53021002</v>
      </c>
      <c r="FI129" s="1448">
        <v>282038796.10000002</v>
      </c>
      <c r="FJ129" s="1448">
        <v>514282286.17839003</v>
      </c>
      <c r="FK129" s="1448">
        <v>271471980.70000005</v>
      </c>
      <c r="FL129" s="1448">
        <v>506758129.17220998</v>
      </c>
      <c r="FM129" s="1448">
        <v>232066485.29999995</v>
      </c>
      <c r="FN129" s="1448">
        <v>328442639.69596601</v>
      </c>
      <c r="FO129" s="1448">
        <v>71042173</v>
      </c>
      <c r="FP129" s="1448">
        <v>361428928.33211994</v>
      </c>
      <c r="FQ129" s="1448">
        <v>212724549</v>
      </c>
      <c r="FR129" s="1448">
        <v>427980951.88319993</v>
      </c>
      <c r="FS129" s="1448">
        <v>222630502</v>
      </c>
      <c r="FT129" s="1571">
        <v>314311181.88319993</v>
      </c>
      <c r="FU129" s="1571">
        <v>327768617</v>
      </c>
      <c r="FV129" s="1571">
        <v>300278781.88319993</v>
      </c>
      <c r="FW129" s="1571">
        <v>409802986</v>
      </c>
      <c r="FX129" s="1571">
        <v>-12258043.11680007</v>
      </c>
      <c r="FY129" s="1571">
        <v>1281590</v>
      </c>
      <c r="FZ129" s="1571">
        <v>-149181878.93425989</v>
      </c>
      <c r="GA129" s="1571">
        <v>199302751</v>
      </c>
      <c r="GB129" s="1571">
        <f>GB124+GB125+GB126-GB127-GB128</f>
        <v>0</v>
      </c>
      <c r="GC129" s="1571">
        <f>GC124+GC125+GC126-GC127-GC128</f>
        <v>62465</v>
      </c>
      <c r="GD129" s="1425"/>
    </row>
    <row r="130" spans="2:186" outlineLevel="1">
      <c r="S130" s="1425"/>
      <c r="T130" s="1425"/>
      <c r="U130" s="1425"/>
      <c r="V130" s="1425"/>
      <c r="W130" s="1425"/>
      <c r="X130" s="1572"/>
      <c r="Y130" s="1572"/>
      <c r="Z130" s="1572"/>
      <c r="AA130" s="1572"/>
      <c r="AB130" s="1572"/>
      <c r="AC130" s="1572"/>
      <c r="AD130" s="1572"/>
      <c r="AE130" s="1572"/>
      <c r="AF130" s="1572"/>
      <c r="AG130" s="1572"/>
      <c r="AH130" s="1572"/>
      <c r="AI130" s="1572"/>
      <c r="AJ130" s="1572"/>
      <c r="AK130" s="1572"/>
      <c r="AL130" s="1572"/>
      <c r="AM130" s="1572"/>
      <c r="AN130" s="1572"/>
      <c r="AO130" s="1572"/>
      <c r="AP130" s="1572"/>
      <c r="AQ130" s="1572"/>
      <c r="AR130" s="1572"/>
      <c r="AS130" s="1572"/>
      <c r="AT130" s="1572"/>
      <c r="AU130" s="1572"/>
      <c r="AV130" s="1572"/>
      <c r="AW130" s="1572"/>
      <c r="AX130" s="1573"/>
      <c r="AY130" s="1572"/>
      <c r="AZ130" s="1573"/>
      <c r="BA130" s="1572"/>
      <c r="BB130" s="1573"/>
      <c r="BC130" s="1572"/>
      <c r="BD130" s="1573"/>
      <c r="BE130" s="1572"/>
      <c r="BF130" s="1573"/>
      <c r="BG130" s="1572"/>
      <c r="BH130" s="1462"/>
      <c r="BI130" s="1462"/>
      <c r="BJ130" s="1462"/>
      <c r="BK130" s="1462"/>
      <c r="BL130" s="1462"/>
      <c r="BM130" s="1572"/>
      <c r="BN130" s="1462"/>
      <c r="BO130" s="1572"/>
      <c r="BP130" s="1462">
        <v>986312113</v>
      </c>
      <c r="BQ130" s="1572"/>
      <c r="BR130" s="1462">
        <v>926272068</v>
      </c>
      <c r="BS130" s="1572"/>
      <c r="BT130" s="1425"/>
      <c r="BU130" s="1572" t="b">
        <f>BY129=425140886</f>
        <v>1</v>
      </c>
      <c r="BV130" s="1425"/>
      <c r="BW130" s="1572" t="b">
        <f>CA129=197343877.571426</f>
        <v>1</v>
      </c>
      <c r="BX130" s="1425"/>
      <c r="BY130" s="1572" t="b">
        <f>CC129=431502287</f>
        <v>1</v>
      </c>
      <c r="BZ130" s="1425"/>
      <c r="CA130" s="1572"/>
      <c r="CB130" s="1425"/>
      <c r="CC130" s="1572"/>
      <c r="CD130" s="1425"/>
      <c r="CE130" s="1572"/>
      <c r="CF130" s="1425"/>
      <c r="CG130" s="1425"/>
      <c r="CH130" s="1425"/>
      <c r="CI130" s="1425"/>
      <c r="CJ130" s="1425"/>
      <c r="CK130" s="1425"/>
      <c r="CL130" s="1425"/>
      <c r="CM130" s="1425"/>
      <c r="CN130" s="1425"/>
      <c r="CO130" s="1425"/>
      <c r="CP130" s="1425"/>
      <c r="CQ130" s="1425"/>
      <c r="CR130" s="1425"/>
      <c r="CS130" s="1425"/>
      <c r="CT130" s="1425"/>
      <c r="CU130" s="1425"/>
      <c r="CV130" s="1425"/>
      <c r="CW130" s="1425"/>
      <c r="CX130" s="1425"/>
      <c r="CY130" s="1425"/>
      <c r="CZ130" s="1425"/>
      <c r="DA130" s="1425"/>
      <c r="DB130" s="1425"/>
      <c r="DC130" s="1425"/>
      <c r="DD130" s="1425"/>
      <c r="DE130" s="1425"/>
      <c r="DF130" s="1425"/>
      <c r="DG130" s="1425"/>
      <c r="DH130" s="1425"/>
      <c r="DI130" s="1425"/>
      <c r="DJ130" s="1425"/>
      <c r="DK130" s="1425"/>
      <c r="DL130" s="1425"/>
      <c r="DM130" s="1425"/>
      <c r="DN130" s="1425"/>
      <c r="DO130" s="1425"/>
      <c r="DP130" s="1425"/>
      <c r="DQ130" s="1425"/>
      <c r="DR130" s="1425"/>
      <c r="DS130" s="1425"/>
      <c r="DT130" s="1425"/>
      <c r="DU130" s="1425"/>
      <c r="DV130" s="1425"/>
      <c r="DW130" s="1462"/>
      <c r="DX130" s="1425"/>
      <c r="DY130" s="1425"/>
      <c r="DZ130" s="1425"/>
      <c r="EA130" s="1425"/>
      <c r="EB130" s="1425"/>
      <c r="EC130" s="1425"/>
      <c r="ED130" s="1425"/>
      <c r="EE130" s="1425"/>
      <c r="EF130" s="1425"/>
      <c r="EG130" s="1425"/>
      <c r="EH130" s="1425"/>
      <c r="EI130" s="1425"/>
      <c r="EJ130" s="1425"/>
      <c r="EK130" s="1425"/>
      <c r="EL130" s="1425"/>
      <c r="EM130" s="1425"/>
      <c r="EN130" s="1425"/>
      <c r="EO130" s="1425"/>
      <c r="EP130" s="1425"/>
      <c r="EQ130" s="1425"/>
      <c r="ER130" s="1425"/>
      <c r="ES130" s="1425"/>
      <c r="ET130" s="1425"/>
      <c r="EU130" s="1425"/>
      <c r="EV130" s="1425"/>
      <c r="EW130" s="1425"/>
      <c r="EX130" s="1425"/>
      <c r="EY130" s="1425"/>
      <c r="EZ130" s="1425"/>
      <c r="FA130" s="1425"/>
      <c r="FB130" s="1425"/>
      <c r="FC130" s="1425"/>
      <c r="FD130" s="1425"/>
      <c r="FE130" s="1425"/>
      <c r="FF130" s="1425"/>
      <c r="FG130" s="1425"/>
      <c r="FH130" s="1425"/>
      <c r="FI130" s="1425"/>
      <c r="FJ130" s="1425"/>
      <c r="FK130" s="1425"/>
      <c r="FL130" s="1425"/>
      <c r="FM130" s="1425"/>
      <c r="FN130" s="1425"/>
      <c r="FO130" s="1425"/>
      <c r="FP130" s="1425"/>
      <c r="FQ130" s="1425"/>
      <c r="FR130" s="1425"/>
      <c r="FS130" s="1425"/>
      <c r="FT130" s="1425"/>
    </row>
    <row r="131" spans="2:186" outlineLevel="1">
      <c r="T131" s="1574"/>
      <c r="W131" s="1575" t="s">
        <v>2086</v>
      </c>
      <c r="X131" s="1572"/>
      <c r="Y131" s="1572"/>
      <c r="Z131" s="1572"/>
      <c r="AA131" s="1572"/>
      <c r="AB131" s="1572"/>
      <c r="AC131" s="1572"/>
      <c r="AD131" s="1572"/>
      <c r="AE131" s="1572"/>
      <c r="AF131" s="1572"/>
      <c r="AG131" s="1572"/>
      <c r="AH131" s="1572"/>
      <c r="AI131" s="1572"/>
      <c r="AJ131" s="1576"/>
      <c r="AL131" s="1576"/>
      <c r="AN131" s="1576"/>
      <c r="AP131" s="1576"/>
      <c r="AR131" s="1576"/>
      <c r="AT131" s="1576"/>
      <c r="AX131" s="1577"/>
      <c r="AZ131" s="1577"/>
      <c r="BB131" s="1577"/>
      <c r="BD131" s="1577"/>
      <c r="BF131" s="1577"/>
      <c r="BH131" s="1462"/>
      <c r="BI131" s="1462"/>
      <c r="BJ131" s="1462"/>
      <c r="BN131" s="1577"/>
      <c r="BP131" s="1577"/>
      <c r="BR131" s="1577">
        <f>+BV100-BR130</f>
        <v>0</v>
      </c>
      <c r="BU131" s="1575"/>
      <c r="BW131" s="1022"/>
      <c r="BY131" s="1575"/>
      <c r="CA131" s="1575"/>
      <c r="CO131" s="1578"/>
      <c r="FT131" s="1425"/>
    </row>
    <row r="132" spans="2:186" outlineLevel="1">
      <c r="R132" s="1425"/>
      <c r="S132" s="1425"/>
      <c r="T132" s="1425"/>
      <c r="U132" s="1425"/>
      <c r="V132" s="1425"/>
      <c r="W132" s="1425"/>
      <c r="X132" s="1425"/>
      <c r="Y132" s="1425"/>
      <c r="AJ132" s="1572"/>
      <c r="AK132" s="1572"/>
      <c r="AL132" s="1572"/>
      <c r="AM132" s="1572"/>
      <c r="AN132" s="1572"/>
      <c r="AO132" s="1572"/>
      <c r="AP132" s="1572"/>
      <c r="AQ132" s="1572"/>
      <c r="AR132" s="1576"/>
      <c r="AT132" s="1572"/>
      <c r="AU132" s="1572"/>
      <c r="AV132" s="1572"/>
      <c r="AW132" s="1572"/>
      <c r="AX132" s="1572"/>
      <c r="AY132" s="1572"/>
      <c r="AZ132" s="1572"/>
      <c r="BA132" s="1572"/>
      <c r="BB132" s="1572"/>
      <c r="BC132" s="1572"/>
      <c r="BD132" s="1572"/>
      <c r="BE132" s="1572"/>
      <c r="BF132" s="1572"/>
      <c r="BG132" s="1572"/>
      <c r="BH132" s="1425"/>
      <c r="BI132" s="1572"/>
      <c r="BJ132" s="1425"/>
      <c r="BK132" s="1572"/>
      <c r="BL132" s="1572"/>
      <c r="BM132" s="1572"/>
      <c r="BN132" s="1504"/>
      <c r="BO132" s="1425"/>
      <c r="BP132" s="1425"/>
      <c r="BQ132" s="1572"/>
      <c r="BR132" s="1425"/>
      <c r="BS132" s="1572"/>
      <c r="BT132" s="1425"/>
      <c r="BU132" s="1572"/>
      <c r="BV132" s="1425"/>
      <c r="BW132" s="1425"/>
      <c r="BX132" s="1425"/>
      <c r="BY132" s="1425"/>
      <c r="BZ132" s="1425"/>
      <c r="CA132" s="1425"/>
      <c r="CB132" s="1425"/>
      <c r="CC132" s="1425"/>
      <c r="CD132" s="1425"/>
      <c r="CE132" s="1425"/>
      <c r="CF132" s="1425"/>
      <c r="CG132" s="1425"/>
      <c r="CH132" s="1425"/>
      <c r="CI132" s="1425"/>
      <c r="CJ132" s="1425"/>
      <c r="CK132" s="1425"/>
      <c r="CL132" s="1425"/>
      <c r="CM132" s="1425"/>
      <c r="CN132" s="1425"/>
      <c r="CO132" s="1425"/>
      <c r="CP132" s="1425"/>
      <c r="CQ132" s="1425"/>
      <c r="CR132" s="1425"/>
      <c r="CS132" s="1425"/>
      <c r="CT132" s="1425"/>
      <c r="CU132" s="1425"/>
      <c r="CV132" s="1425"/>
      <c r="CW132" s="1425"/>
      <c r="CX132" s="1425"/>
      <c r="CY132" s="1425"/>
      <c r="CZ132" s="1425"/>
      <c r="DA132" s="1425"/>
      <c r="DB132" s="1425"/>
      <c r="DC132" s="1425"/>
      <c r="DD132" s="1425"/>
      <c r="DE132" s="1462"/>
      <c r="DF132" s="1425"/>
      <c r="DG132" s="1425"/>
      <c r="DH132" s="1425"/>
      <c r="DI132" s="1425"/>
      <c r="DJ132" s="1425"/>
      <c r="DK132" s="1425"/>
      <c r="DL132" s="1425"/>
      <c r="DM132" s="1425"/>
      <c r="DN132" s="1425"/>
      <c r="DO132" s="1425"/>
      <c r="DP132" s="1425"/>
      <c r="DQ132" s="1425"/>
      <c r="DR132" s="1425"/>
      <c r="DS132" s="1425"/>
      <c r="DT132" s="1425"/>
      <c r="DU132" s="1425"/>
      <c r="DV132" s="1425"/>
      <c r="DW132" s="1425"/>
      <c r="DX132" s="1425"/>
      <c r="DY132" s="1425"/>
      <c r="DZ132" s="1425"/>
      <c r="EA132" s="1425"/>
      <c r="EB132" s="1425"/>
      <c r="EC132" s="1425"/>
      <c r="ED132" s="1425"/>
      <c r="EE132" s="1425"/>
      <c r="EF132" s="1425"/>
      <c r="EG132" s="1425"/>
      <c r="EH132" s="1425"/>
      <c r="EI132" s="1425"/>
      <c r="EJ132" s="1425"/>
      <c r="EK132" s="1425"/>
      <c r="EL132" s="1425"/>
      <c r="EM132" s="1425"/>
      <c r="EN132" s="1425"/>
      <c r="EO132" s="1425"/>
      <c r="EP132" s="1425"/>
      <c r="EQ132" s="1425"/>
      <c r="ER132" s="1425"/>
      <c r="ES132" s="1425"/>
      <c r="ET132" s="1425"/>
      <c r="EU132" s="1425"/>
      <c r="EV132" s="1425"/>
      <c r="EW132" s="1425"/>
      <c r="EX132" s="1425"/>
      <c r="EY132" s="1425"/>
      <c r="EZ132" s="1425"/>
      <c r="FA132" s="1425"/>
      <c r="FB132" s="1425"/>
      <c r="FC132" s="1425"/>
      <c r="FD132" s="1425"/>
      <c r="FE132" s="1425"/>
      <c r="FF132" s="1425"/>
      <c r="FG132" s="1425"/>
      <c r="FH132" s="1425"/>
      <c r="FI132" s="1425"/>
      <c r="FJ132" s="1425"/>
      <c r="FK132" s="1425"/>
      <c r="FL132" s="1425"/>
      <c r="FM132" s="1425"/>
      <c r="FN132" s="1425"/>
      <c r="FO132" s="1425"/>
      <c r="FP132" s="1425"/>
      <c r="FQ132" s="1425"/>
      <c r="FR132" s="1425"/>
      <c r="FS132" s="1425"/>
    </row>
    <row r="133" spans="2:186" outlineLevel="1">
      <c r="AR133" s="1576"/>
    </row>
    <row r="134" spans="2:186" outlineLevel="1">
      <c r="FP134" s="1425"/>
    </row>
    <row r="135" spans="2:186" outlineLevel="1">
      <c r="CJ135" s="1578"/>
      <c r="FP135" s="1425"/>
    </row>
    <row r="136" spans="2:186" outlineLevel="1">
      <c r="FP136" s="1425"/>
    </row>
    <row r="137" spans="2:186" outlineLevel="1"/>
    <row r="138" spans="2:186" outlineLevel="1"/>
    <row r="139" spans="2:186" outlineLevel="1"/>
    <row r="140" spans="2:186" outlineLevel="1"/>
    <row r="141" spans="2:186" outlineLevel="1"/>
    <row r="142" spans="2:186" outlineLevel="1"/>
    <row r="143" spans="2:186" outlineLevel="1"/>
    <row r="144" spans="2:186" outlineLevel="1"/>
    <row r="145" outlineLevel="1"/>
    <row r="146" outlineLevel="1"/>
    <row r="147" outlineLevel="1"/>
    <row r="148" outlineLevel="1"/>
    <row r="149" outlineLevel="1"/>
    <row r="150" outlineLevel="1"/>
    <row r="151" outlineLevel="1"/>
    <row r="152" outlineLevel="1"/>
  </sheetData>
  <mergeCells count="200">
    <mergeCell ref="V98:W98"/>
    <mergeCell ref="AB98:AC98"/>
    <mergeCell ref="B8:B9"/>
    <mergeCell ref="C8:D8"/>
    <mergeCell ref="E8:F8"/>
    <mergeCell ref="I27:J27"/>
    <mergeCell ref="K27:L27"/>
    <mergeCell ref="M27:N27"/>
    <mergeCell ref="O30:P30"/>
    <mergeCell ref="I31:J31"/>
    <mergeCell ref="K31:L31"/>
    <mergeCell ref="M31:N31"/>
    <mergeCell ref="O31:P31"/>
    <mergeCell ref="O27:P27"/>
    <mergeCell ref="I28:J28"/>
    <mergeCell ref="K28:L28"/>
    <mergeCell ref="M28:N28"/>
    <mergeCell ref="O28:P28"/>
    <mergeCell ref="I29:J29"/>
    <mergeCell ref="K29:L29"/>
    <mergeCell ref="M29:N29"/>
    <mergeCell ref="O29:P29"/>
    <mergeCell ref="B48:C49"/>
    <mergeCell ref="D48:G48"/>
    <mergeCell ref="H48:N48"/>
    <mergeCell ref="B50:B53"/>
    <mergeCell ref="B78:C78"/>
    <mergeCell ref="B79:B80"/>
    <mergeCell ref="I30:J30"/>
    <mergeCell ref="K30:L30"/>
    <mergeCell ref="M30:N30"/>
    <mergeCell ref="AH89:AI89"/>
    <mergeCell ref="AJ89:AK89"/>
    <mergeCell ref="AB89:AC89"/>
    <mergeCell ref="V89:W89"/>
    <mergeCell ref="O48:O49"/>
    <mergeCell ref="P48:P49"/>
    <mergeCell ref="AL89:AM89"/>
    <mergeCell ref="AN89:AO89"/>
    <mergeCell ref="AP89:AQ89"/>
    <mergeCell ref="AR89:AS89"/>
    <mergeCell ref="B81:B82"/>
    <mergeCell ref="B83:C83"/>
    <mergeCell ref="T89:U89"/>
    <mergeCell ref="Z89:AA89"/>
    <mergeCell ref="AD89:AE89"/>
    <mergeCell ref="AF89:AG89"/>
    <mergeCell ref="X89:Y89"/>
    <mergeCell ref="BF89:BG89"/>
    <mergeCell ref="BH89:BI89"/>
    <mergeCell ref="BJ89:BK89"/>
    <mergeCell ref="BL89:BM89"/>
    <mergeCell ref="BN89:BO89"/>
    <mergeCell ref="BP89:BQ89"/>
    <mergeCell ref="AT89:AU89"/>
    <mergeCell ref="AV89:AW89"/>
    <mergeCell ref="AX89:AY89"/>
    <mergeCell ref="AZ89:BA89"/>
    <mergeCell ref="BB89:BC89"/>
    <mergeCell ref="BD89:BE89"/>
    <mergeCell ref="CD89:CE89"/>
    <mergeCell ref="CF89:CG89"/>
    <mergeCell ref="CH89:CI89"/>
    <mergeCell ref="CJ89:CK89"/>
    <mergeCell ref="CL89:CM89"/>
    <mergeCell ref="CN89:CO89"/>
    <mergeCell ref="BR89:BS89"/>
    <mergeCell ref="BT89:BU89"/>
    <mergeCell ref="BV89:BW89"/>
    <mergeCell ref="BX89:BY89"/>
    <mergeCell ref="BZ89:CA89"/>
    <mergeCell ref="CB89:CC89"/>
    <mergeCell ref="DF89:DG89"/>
    <mergeCell ref="DH89:DI89"/>
    <mergeCell ref="DJ89:DK89"/>
    <mergeCell ref="DL89:DM89"/>
    <mergeCell ref="CP89:CQ89"/>
    <mergeCell ref="CR89:CS89"/>
    <mergeCell ref="CT89:CU89"/>
    <mergeCell ref="CV89:CW89"/>
    <mergeCell ref="CX89:CY89"/>
    <mergeCell ref="CZ89:DA89"/>
    <mergeCell ref="GB89:GC89"/>
    <mergeCell ref="S98:S99"/>
    <mergeCell ref="T98:U98"/>
    <mergeCell ref="Z98:AA98"/>
    <mergeCell ref="AD98:AE98"/>
    <mergeCell ref="AF98:AG98"/>
    <mergeCell ref="AH98:AI98"/>
    <mergeCell ref="FJ89:FK89"/>
    <mergeCell ref="FL89:FM89"/>
    <mergeCell ref="FN89:FO89"/>
    <mergeCell ref="FP89:FQ89"/>
    <mergeCell ref="FR89:FS89"/>
    <mergeCell ref="FT89:FU89"/>
    <mergeCell ref="EX89:EY89"/>
    <mergeCell ref="EZ89:FA89"/>
    <mergeCell ref="FB89:FC89"/>
    <mergeCell ref="FD89:FE89"/>
    <mergeCell ref="FF89:FG89"/>
    <mergeCell ref="FH89:FI89"/>
    <mergeCell ref="EL89:EM89"/>
    <mergeCell ref="EN89:EO89"/>
    <mergeCell ref="EP89:EQ89"/>
    <mergeCell ref="ER89:ES89"/>
    <mergeCell ref="ET89:EU89"/>
    <mergeCell ref="AJ98:AK98"/>
    <mergeCell ref="AL98:AM98"/>
    <mergeCell ref="AN98:AO98"/>
    <mergeCell ref="AP98:AQ98"/>
    <mergeCell ref="AR98:AS98"/>
    <mergeCell ref="AT98:AU98"/>
    <mergeCell ref="FV89:FW89"/>
    <mergeCell ref="FX89:FY89"/>
    <mergeCell ref="FZ89:GA89"/>
    <mergeCell ref="EV89:EW89"/>
    <mergeCell ref="DZ89:EA89"/>
    <mergeCell ref="EB89:EC89"/>
    <mergeCell ref="ED89:EE89"/>
    <mergeCell ref="EF89:EG89"/>
    <mergeCell ref="EH89:EI89"/>
    <mergeCell ref="EJ89:EK89"/>
    <mergeCell ref="DN89:DO89"/>
    <mergeCell ref="DP89:DQ89"/>
    <mergeCell ref="DR89:DS89"/>
    <mergeCell ref="DT89:DU89"/>
    <mergeCell ref="DV89:DW89"/>
    <mergeCell ref="DX89:DY89"/>
    <mergeCell ref="DB89:DC89"/>
    <mergeCell ref="DD89:DE89"/>
    <mergeCell ref="BH98:BI98"/>
    <mergeCell ref="BJ98:BK98"/>
    <mergeCell ref="BL98:BM98"/>
    <mergeCell ref="BN98:BO98"/>
    <mergeCell ref="BP98:BQ98"/>
    <mergeCell ref="BR98:BS98"/>
    <mergeCell ref="AV98:AW98"/>
    <mergeCell ref="AX98:AY98"/>
    <mergeCell ref="AZ98:BA98"/>
    <mergeCell ref="BB98:BC98"/>
    <mergeCell ref="BD98:BE98"/>
    <mergeCell ref="BF98:BG98"/>
    <mergeCell ref="CF98:CG98"/>
    <mergeCell ref="CH98:CI98"/>
    <mergeCell ref="CJ98:CK98"/>
    <mergeCell ref="CL98:CM98"/>
    <mergeCell ref="CN98:CO98"/>
    <mergeCell ref="CP98:CQ98"/>
    <mergeCell ref="BT98:BU98"/>
    <mergeCell ref="BV98:BW98"/>
    <mergeCell ref="BX98:BY98"/>
    <mergeCell ref="BZ98:CA98"/>
    <mergeCell ref="CB98:CC98"/>
    <mergeCell ref="CD98:CE98"/>
    <mergeCell ref="DD98:DE98"/>
    <mergeCell ref="DF98:DG98"/>
    <mergeCell ref="DH98:DI98"/>
    <mergeCell ref="DJ98:DK98"/>
    <mergeCell ref="DL98:DM98"/>
    <mergeCell ref="DN98:DO98"/>
    <mergeCell ref="CR98:CS98"/>
    <mergeCell ref="CT98:CU98"/>
    <mergeCell ref="CV98:CW98"/>
    <mergeCell ref="CX98:CY98"/>
    <mergeCell ref="CZ98:DA98"/>
    <mergeCell ref="DB98:DC98"/>
    <mergeCell ref="EF98:EG98"/>
    <mergeCell ref="EH98:EI98"/>
    <mergeCell ref="EJ98:EK98"/>
    <mergeCell ref="EL98:EM98"/>
    <mergeCell ref="DP98:DQ98"/>
    <mergeCell ref="DR98:DS98"/>
    <mergeCell ref="DT98:DU98"/>
    <mergeCell ref="DV98:DW98"/>
    <mergeCell ref="DX98:DY98"/>
    <mergeCell ref="DZ98:EA98"/>
    <mergeCell ref="X98:Y98"/>
    <mergeCell ref="FX98:FY98"/>
    <mergeCell ref="FZ98:GA98"/>
    <mergeCell ref="GB98:GC98"/>
    <mergeCell ref="FL98:FM98"/>
    <mergeCell ref="FN98:FO98"/>
    <mergeCell ref="FP98:FQ98"/>
    <mergeCell ref="FR98:FS98"/>
    <mergeCell ref="FT98:FU98"/>
    <mergeCell ref="FV98:FW98"/>
    <mergeCell ref="EZ98:FA98"/>
    <mergeCell ref="FB98:FC98"/>
    <mergeCell ref="FD98:FE98"/>
    <mergeCell ref="FF98:FG98"/>
    <mergeCell ref="FH98:FI98"/>
    <mergeCell ref="FJ98:FK98"/>
    <mergeCell ref="EN98:EO98"/>
    <mergeCell ref="EP98:EQ98"/>
    <mergeCell ref="ER98:ES98"/>
    <mergeCell ref="ET98:EU98"/>
    <mergeCell ref="EV98:EW98"/>
    <mergeCell ref="EX98:EY98"/>
    <mergeCell ref="EB98:EC98"/>
    <mergeCell ref="ED98:EE98"/>
  </mergeCells>
  <phoneticPr fontId="6" type="noConversion"/>
  <pageMargins left="0.7" right="0.7" top="0.75" bottom="0.75" header="0.3" footer="0.3"/>
  <pageSetup paperSize="9" scale="42" orientation="portrait" r:id="rId1"/>
  <ignoredErrors>
    <ignoredError sqref="G85 I54" formula="1"/>
  </ignoredErrors>
  <drawing r:id="rId2"/>
  <legacy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</sheetPr>
  <dimension ref="B2:O62"/>
  <sheetViews>
    <sheetView showGridLines="0" view="pageBreakPreview" topLeftCell="A49" zoomScale="70" zoomScaleNormal="100" zoomScaleSheetLayoutView="70" workbookViewId="0">
      <selection activeCell="T23" sqref="T23"/>
    </sheetView>
  </sheetViews>
  <sheetFormatPr defaultColWidth="9" defaultRowHeight="16.5"/>
  <cols>
    <col min="1" max="1" width="2.75" style="214" customWidth="1"/>
    <col min="2" max="2" width="2.625" style="214" customWidth="1"/>
    <col min="3" max="3" width="12.125" style="214" customWidth="1"/>
    <col min="4" max="4" width="16.25" style="214" customWidth="1"/>
    <col min="5" max="5" width="3.375" style="214" customWidth="1"/>
    <col min="6" max="9" width="14.25" style="214" customWidth="1"/>
    <col min="10" max="10" width="3.25" style="214" customWidth="1"/>
    <col min="11" max="14" width="14.25" style="214" customWidth="1"/>
    <col min="15" max="15" width="11.75" style="214" bestFit="1" customWidth="1"/>
    <col min="16" max="16384" width="9" style="214"/>
  </cols>
  <sheetData>
    <row r="2" spans="2:15" ht="24.95" customHeight="1">
      <c r="B2" s="212" t="s">
        <v>1036</v>
      </c>
      <c r="C2" s="213"/>
      <c r="D2" s="213"/>
      <c r="E2" s="213"/>
    </row>
    <row r="3" spans="2:15" ht="8.25" customHeight="1">
      <c r="B3" s="215"/>
      <c r="C3" s="215"/>
      <c r="D3" s="215"/>
      <c r="E3" s="215"/>
    </row>
    <row r="4" spans="2:15" ht="12.75" customHeight="1">
      <c r="B4" s="216"/>
      <c r="C4" s="217"/>
      <c r="D4" s="217"/>
      <c r="E4" s="217"/>
    </row>
    <row r="5" spans="2:15" ht="12.75" customHeight="1">
      <c r="B5" s="219"/>
      <c r="C5" s="219"/>
      <c r="D5" s="219"/>
      <c r="E5" s="219"/>
    </row>
    <row r="6" spans="2:15" ht="15.75" customHeight="1">
      <c r="N6" s="218" t="s">
        <v>1037</v>
      </c>
      <c r="O6" s="214" t="s">
        <v>1038</v>
      </c>
    </row>
    <row r="7" spans="2:15" ht="12.75" customHeight="1">
      <c r="B7" s="220" t="s">
        <v>1039</v>
      </c>
      <c r="C7" s="221"/>
      <c r="D7" s="221"/>
      <c r="E7" s="221"/>
    </row>
    <row r="8" spans="2:15" s="222" customFormat="1" ht="12.75" customHeight="1">
      <c r="B8" s="223"/>
      <c r="C8" s="8"/>
      <c r="D8" s="8"/>
      <c r="E8" s="8"/>
      <c r="F8" s="224"/>
      <c r="G8" s="224"/>
      <c r="H8" s="224"/>
      <c r="I8" s="224"/>
      <c r="K8" s="224"/>
      <c r="L8" s="224"/>
      <c r="M8" s="224"/>
      <c r="N8" s="224" t="s">
        <v>1040</v>
      </c>
    </row>
    <row r="9" spans="2:15" s="8" customFormat="1" ht="20.100000000000001" customHeight="1">
      <c r="B9" s="225"/>
      <c r="C9" s="226" t="s">
        <v>1041</v>
      </c>
      <c r="D9" s="227"/>
      <c r="E9" s="228"/>
      <c r="F9" s="2820" t="s">
        <v>1042</v>
      </c>
      <c r="G9" s="2821"/>
      <c r="H9" s="2821"/>
      <c r="I9" s="2822"/>
      <c r="K9" s="2820" t="s">
        <v>1043</v>
      </c>
      <c r="L9" s="2821"/>
      <c r="M9" s="2821"/>
      <c r="N9" s="2822"/>
    </row>
    <row r="10" spans="2:15" s="8" customFormat="1" ht="20.100000000000001" customHeight="1">
      <c r="B10" s="225"/>
      <c r="C10" s="247"/>
      <c r="D10" s="248"/>
      <c r="E10" s="228"/>
      <c r="F10" s="249" t="s">
        <v>1044</v>
      </c>
      <c r="G10" s="249" t="s">
        <v>264</v>
      </c>
      <c r="H10" s="249" t="s">
        <v>265</v>
      </c>
      <c r="I10" s="250" t="s">
        <v>1045</v>
      </c>
      <c r="K10" s="249" t="s">
        <v>1046</v>
      </c>
      <c r="L10" s="249" t="s">
        <v>1047</v>
      </c>
      <c r="M10" s="249" t="s">
        <v>1048</v>
      </c>
      <c r="N10" s="250" t="s">
        <v>1049</v>
      </c>
    </row>
    <row r="11" spans="2:15" s="8" customFormat="1" ht="27.75" customHeight="1">
      <c r="B11" s="229"/>
      <c r="C11" s="251" t="s">
        <v>1050</v>
      </c>
      <c r="D11" s="252"/>
      <c r="E11" s="230"/>
      <c r="F11" s="171">
        <f>SUM(F12:F14)</f>
        <v>2246169583</v>
      </c>
      <c r="G11" s="171">
        <f t="shared" ref="G11:I11" si="0">SUM(G12:G14)</f>
        <v>1948808235</v>
      </c>
      <c r="H11" s="171">
        <f t="shared" si="0"/>
        <v>2279049290</v>
      </c>
      <c r="I11" s="171">
        <f t="shared" si="0"/>
        <v>6474027108</v>
      </c>
      <c r="K11" s="171">
        <f>SUM(K12:K14)</f>
        <v>1961477312</v>
      </c>
      <c r="L11" s="171">
        <f t="shared" ref="L11:N11" si="1">SUM(L12:L14)</f>
        <v>0</v>
      </c>
      <c r="M11" s="171">
        <f t="shared" si="1"/>
        <v>0</v>
      </c>
      <c r="N11" s="171">
        <f t="shared" si="1"/>
        <v>1961477312</v>
      </c>
      <c r="O11" s="214" t="b">
        <f>K11='3-4) 예산-실적 비교'!I50</f>
        <v>0</v>
      </c>
    </row>
    <row r="12" spans="2:15" s="8" customFormat="1" ht="27.75" customHeight="1">
      <c r="B12" s="231"/>
      <c r="C12" s="232"/>
      <c r="D12" s="253" t="s">
        <v>1051</v>
      </c>
      <c r="E12" s="233"/>
      <c r="F12" s="172">
        <v>1275618738</v>
      </c>
      <c r="G12" s="172">
        <v>972375031</v>
      </c>
      <c r="H12" s="172">
        <v>1181463826</v>
      </c>
      <c r="I12" s="254">
        <f>SUM(F12:H12)</f>
        <v>3429457595</v>
      </c>
      <c r="K12" s="172">
        <f>'3-4) 예산-실적 비교'!AA91</f>
        <v>1007004751</v>
      </c>
      <c r="L12" s="172"/>
      <c r="M12" s="172"/>
      <c r="N12" s="254">
        <f>SUM(K12:M12)</f>
        <v>1007004751</v>
      </c>
    </row>
    <row r="13" spans="2:15" s="8" customFormat="1" ht="27.75" customHeight="1">
      <c r="B13" s="231"/>
      <c r="C13" s="232"/>
      <c r="D13" s="255" t="s">
        <v>615</v>
      </c>
      <c r="E13" s="233"/>
      <c r="F13" s="172">
        <v>915083209</v>
      </c>
      <c r="G13" s="172">
        <v>915874505</v>
      </c>
      <c r="H13" s="172">
        <v>921281312</v>
      </c>
      <c r="I13" s="254">
        <f t="shared" ref="I13:I15" si="2">SUM(F13:H13)</f>
        <v>2752239026</v>
      </c>
      <c r="K13" s="172">
        <f>'3-4) 예산-실적 비교'!AA92</f>
        <v>924153239</v>
      </c>
      <c r="L13" s="172"/>
      <c r="M13" s="172"/>
      <c r="N13" s="254">
        <f t="shared" ref="N13:N15" si="3">SUM(K13:M13)</f>
        <v>924153239</v>
      </c>
    </row>
    <row r="14" spans="2:15" s="8" customFormat="1" ht="27.75" customHeight="1">
      <c r="B14" s="231"/>
      <c r="C14" s="232"/>
      <c r="D14" s="255" t="s">
        <v>1052</v>
      </c>
      <c r="E14" s="233"/>
      <c r="F14" s="172">
        <v>55467636</v>
      </c>
      <c r="G14" s="172">
        <v>60558699</v>
      </c>
      <c r="H14" s="172">
        <v>176304152</v>
      </c>
      <c r="I14" s="254">
        <f t="shared" si="2"/>
        <v>292330487</v>
      </c>
      <c r="K14" s="172">
        <f>'3-4) 예산-실적 비교'!AA93</f>
        <v>30319322</v>
      </c>
      <c r="L14" s="172"/>
      <c r="M14" s="172"/>
      <c r="N14" s="254">
        <f t="shared" si="3"/>
        <v>30319322</v>
      </c>
    </row>
    <row r="15" spans="2:15" s="8" customFormat="1" ht="27.75" customHeight="1">
      <c r="B15" s="231"/>
      <c r="C15" s="256"/>
      <c r="D15" s="255"/>
      <c r="E15" s="234"/>
      <c r="F15" s="172"/>
      <c r="G15" s="172"/>
      <c r="H15" s="172"/>
      <c r="I15" s="254">
        <f t="shared" si="2"/>
        <v>0</v>
      </c>
      <c r="K15" s="172"/>
      <c r="L15" s="172"/>
      <c r="M15" s="172"/>
      <c r="N15" s="254">
        <f t="shared" si="3"/>
        <v>0</v>
      </c>
    </row>
    <row r="16" spans="2:15" s="8" customFormat="1" ht="27.75" customHeight="1">
      <c r="B16" s="229"/>
      <c r="C16" s="251" t="s">
        <v>1053</v>
      </c>
      <c r="D16" s="257"/>
      <c r="E16" s="235"/>
      <c r="F16" s="171">
        <f>SUM(F17:F38)-F30-F31-F32-F37-F38</f>
        <v>1076872006</v>
      </c>
      <c r="G16" s="171">
        <f>SUM(G17:G38)-G30-G31-G32-G37-G38</f>
        <v>1028707984</v>
      </c>
      <c r="H16" s="171">
        <f>SUM(H17:H38)-H30-H31-H32-H37-H38</f>
        <v>1350091727</v>
      </c>
      <c r="I16" s="171">
        <f>SUM(I17:I38)-I30-I31-I32-I37-I38</f>
        <v>3455671717</v>
      </c>
      <c r="K16" s="171">
        <f>SUM(K17:K38)-K30-K31-K32-K37-K38</f>
        <v>1075152994</v>
      </c>
      <c r="L16" s="171">
        <f>SUM(L17:L38)-L30-L31-L32-L37-L38</f>
        <v>0</v>
      </c>
      <c r="M16" s="171">
        <f>SUM(M17:M38)-M30-M31-M32-M37-M38</f>
        <v>0</v>
      </c>
      <c r="N16" s="171">
        <f>SUM(N17:N38)-N30-N31-N32-N37-N38</f>
        <v>1075152994</v>
      </c>
      <c r="O16" s="214" t="b">
        <f>K16='3-4) 예산-실적 비교'!I54</f>
        <v>0</v>
      </c>
    </row>
    <row r="17" spans="2:14" s="8" customFormat="1" ht="27.75" customHeight="1">
      <c r="B17" s="231"/>
      <c r="C17" s="232"/>
      <c r="D17" s="253" t="s">
        <v>1054</v>
      </c>
      <c r="E17" s="233"/>
      <c r="F17" s="173">
        <v>16666667</v>
      </c>
      <c r="G17" s="173">
        <v>16666667</v>
      </c>
      <c r="H17" s="173">
        <v>316666665</v>
      </c>
      <c r="I17" s="254">
        <f>SUM(F17:H17)</f>
        <v>349999999</v>
      </c>
      <c r="K17" s="173">
        <f>'3-4) 예산-실적 비교'!AA101</f>
        <v>16666667</v>
      </c>
      <c r="L17" s="173"/>
      <c r="M17" s="173"/>
      <c r="N17" s="254">
        <f>SUM(K17:M17)</f>
        <v>16666667</v>
      </c>
    </row>
    <row r="18" spans="2:14" s="8" customFormat="1" ht="27.75" customHeight="1">
      <c r="B18" s="231"/>
      <c r="C18" s="232"/>
      <c r="D18" s="255" t="s">
        <v>1055</v>
      </c>
      <c r="E18" s="233"/>
      <c r="F18" s="173">
        <v>2249999</v>
      </c>
      <c r="G18" s="173">
        <v>2249999</v>
      </c>
      <c r="H18" s="173">
        <v>2250002</v>
      </c>
      <c r="I18" s="254">
        <f t="shared" ref="I18:I38" si="4">SUM(F18:H18)</f>
        <v>6750000</v>
      </c>
      <c r="K18" s="173">
        <f>'3-4) 예산-실적 비교'!AA102</f>
        <v>2249999</v>
      </c>
      <c r="L18" s="173"/>
      <c r="M18" s="173"/>
      <c r="N18" s="254">
        <f t="shared" ref="N18:N38" si="5">SUM(K18:M18)</f>
        <v>2249999</v>
      </c>
    </row>
    <row r="19" spans="2:14" s="8" customFormat="1" ht="27.75" customHeight="1">
      <c r="B19" s="231"/>
      <c r="C19" s="232"/>
      <c r="D19" s="255" t="s">
        <v>1056</v>
      </c>
      <c r="E19" s="233"/>
      <c r="F19" s="173">
        <v>2916666</v>
      </c>
      <c r="G19" s="173">
        <v>2916666</v>
      </c>
      <c r="H19" s="173">
        <v>2916668</v>
      </c>
      <c r="I19" s="254">
        <f t="shared" si="4"/>
        <v>8750000</v>
      </c>
      <c r="K19" s="173">
        <f>'3-4) 예산-실적 비교'!AA103</f>
        <v>2916666</v>
      </c>
      <c r="L19" s="173"/>
      <c r="M19" s="173"/>
      <c r="N19" s="254">
        <f t="shared" si="5"/>
        <v>2916666</v>
      </c>
    </row>
    <row r="20" spans="2:14" s="8" customFormat="1" ht="27.75" customHeight="1">
      <c r="B20" s="231"/>
      <c r="C20" s="232"/>
      <c r="D20" s="255"/>
      <c r="E20" s="233"/>
      <c r="F20" s="173">
        <v>0</v>
      </c>
      <c r="G20" s="173">
        <v>0</v>
      </c>
      <c r="H20" s="173">
        <v>0</v>
      </c>
      <c r="I20" s="254">
        <f t="shared" si="4"/>
        <v>0</v>
      </c>
      <c r="K20" s="173">
        <f>'3-4) 예산-실적 비교'!AA104</f>
        <v>0</v>
      </c>
      <c r="L20" s="173"/>
      <c r="M20" s="173"/>
      <c r="N20" s="254">
        <f t="shared" si="5"/>
        <v>0</v>
      </c>
    </row>
    <row r="21" spans="2:14" s="8" customFormat="1" ht="27.75" customHeight="1">
      <c r="B21" s="231"/>
      <c r="C21" s="232"/>
      <c r="D21" s="255" t="s">
        <v>849</v>
      </c>
      <c r="E21" s="233"/>
      <c r="F21" s="173">
        <v>19779819</v>
      </c>
      <c r="G21" s="173">
        <v>17627592</v>
      </c>
      <c r="H21" s="173">
        <v>21139093</v>
      </c>
      <c r="I21" s="254">
        <f t="shared" si="4"/>
        <v>58546504</v>
      </c>
      <c r="K21" s="173">
        <f>'3-4) 예산-실적 비교'!AA105</f>
        <v>40835280</v>
      </c>
      <c r="L21" s="236"/>
      <c r="M21" s="236"/>
      <c r="N21" s="254">
        <f t="shared" si="5"/>
        <v>40835280</v>
      </c>
    </row>
    <row r="22" spans="2:14" s="8" customFormat="1" ht="27.75" customHeight="1">
      <c r="B22" s="231"/>
      <c r="C22" s="232"/>
      <c r="D22" s="255" t="s">
        <v>1057</v>
      </c>
      <c r="E22" s="233"/>
      <c r="F22" s="173">
        <v>1400000</v>
      </c>
      <c r="G22" s="173">
        <v>1400000</v>
      </c>
      <c r="H22" s="173">
        <v>1400000</v>
      </c>
      <c r="I22" s="254">
        <f t="shared" si="4"/>
        <v>4200000</v>
      </c>
      <c r="K22" s="173">
        <f>'3-4) 예산-실적 비교'!AA106</f>
        <v>1400000</v>
      </c>
      <c r="L22" s="170"/>
      <c r="M22" s="170"/>
      <c r="N22" s="254">
        <f t="shared" si="5"/>
        <v>1400000</v>
      </c>
    </row>
    <row r="23" spans="2:14" s="8" customFormat="1" ht="27.75" customHeight="1">
      <c r="B23" s="231"/>
      <c r="C23" s="232"/>
      <c r="D23" s="255" t="s">
        <v>1058</v>
      </c>
      <c r="E23" s="233"/>
      <c r="F23" s="173">
        <v>3433722</v>
      </c>
      <c r="G23" s="173">
        <v>4555294</v>
      </c>
      <c r="H23" s="173">
        <v>4132825</v>
      </c>
      <c r="I23" s="254">
        <f t="shared" si="4"/>
        <v>12121841</v>
      </c>
      <c r="K23" s="173">
        <f>'3-4) 예산-실적 비교'!AA107</f>
        <v>4131696</v>
      </c>
      <c r="L23" s="170"/>
      <c r="M23" s="170"/>
      <c r="N23" s="254">
        <f t="shared" si="5"/>
        <v>4131696</v>
      </c>
    </row>
    <row r="24" spans="2:14" s="8" customFormat="1" ht="27.75" customHeight="1">
      <c r="B24" s="231"/>
      <c r="C24" s="232"/>
      <c r="D24" s="255" t="s">
        <v>1059</v>
      </c>
      <c r="E24" s="233"/>
      <c r="F24" s="173">
        <v>433686714</v>
      </c>
      <c r="G24" s="173">
        <v>433686714</v>
      </c>
      <c r="H24" s="173">
        <v>433558284</v>
      </c>
      <c r="I24" s="254">
        <f t="shared" si="4"/>
        <v>1300931712</v>
      </c>
      <c r="K24" s="173">
        <f>'3-4) 예산-실적 비교'!AA108</f>
        <v>433558284</v>
      </c>
      <c r="L24" s="170"/>
      <c r="M24" s="170"/>
      <c r="N24" s="254">
        <f t="shared" si="5"/>
        <v>433558284</v>
      </c>
    </row>
    <row r="25" spans="2:14" s="8" customFormat="1" ht="27.75" customHeight="1">
      <c r="B25" s="231"/>
      <c r="C25" s="232"/>
      <c r="D25" s="255" t="s">
        <v>845</v>
      </c>
      <c r="E25" s="233"/>
      <c r="F25" s="173">
        <v>2464903</v>
      </c>
      <c r="G25" s="173">
        <v>2226364</v>
      </c>
      <c r="H25" s="173">
        <v>2544416</v>
      </c>
      <c r="I25" s="254">
        <f t="shared" si="4"/>
        <v>7235683</v>
      </c>
      <c r="K25" s="173">
        <f>'3-4) 예산-실적 비교'!AA109</f>
        <v>2464903</v>
      </c>
      <c r="L25" s="258"/>
      <c r="M25" s="258"/>
      <c r="N25" s="254">
        <f t="shared" si="5"/>
        <v>2464903</v>
      </c>
    </row>
    <row r="26" spans="2:14" s="8" customFormat="1" ht="27.75" customHeight="1">
      <c r="B26" s="231"/>
      <c r="C26" s="232"/>
      <c r="D26" s="255"/>
      <c r="E26" s="233"/>
      <c r="F26" s="173"/>
      <c r="G26" s="173"/>
      <c r="H26" s="173"/>
      <c r="I26" s="254">
        <f t="shared" si="4"/>
        <v>0</v>
      </c>
      <c r="K26" s="173">
        <f>'3-4) 예산-실적 비교'!AA110</f>
        <v>0</v>
      </c>
      <c r="L26" s="173"/>
      <c r="M26" s="173"/>
      <c r="N26" s="254">
        <f t="shared" si="5"/>
        <v>0</v>
      </c>
    </row>
    <row r="27" spans="2:14" s="8" customFormat="1" ht="27.75" customHeight="1">
      <c r="B27" s="231"/>
      <c r="C27" s="232"/>
      <c r="D27" s="255" t="s">
        <v>1060</v>
      </c>
      <c r="E27" s="233"/>
      <c r="F27" s="173">
        <v>28442430</v>
      </c>
      <c r="G27" s="173">
        <v>28442430</v>
      </c>
      <c r="H27" s="173">
        <v>28442430</v>
      </c>
      <c r="I27" s="254">
        <f t="shared" si="4"/>
        <v>85327290</v>
      </c>
      <c r="K27" s="173">
        <f>'3-4) 예산-실적 비교'!AA111</f>
        <v>28442430</v>
      </c>
      <c r="L27" s="173"/>
      <c r="M27" s="173"/>
      <c r="N27" s="254">
        <f t="shared" si="5"/>
        <v>28442430</v>
      </c>
    </row>
    <row r="28" spans="2:14" s="8" customFormat="1" ht="27.75" customHeight="1">
      <c r="B28" s="231"/>
      <c r="C28" s="232"/>
      <c r="D28" s="255" t="s">
        <v>233</v>
      </c>
      <c r="E28" s="233"/>
      <c r="F28" s="173">
        <v>100590000</v>
      </c>
      <c r="G28" s="173">
        <v>100590000</v>
      </c>
      <c r="H28" s="173">
        <v>100590000</v>
      </c>
      <c r="I28" s="254">
        <f t="shared" si="4"/>
        <v>301770000</v>
      </c>
      <c r="K28" s="173">
        <f>'3-4) 예산-실적 비교'!AA112</f>
        <v>103577700</v>
      </c>
      <c r="L28" s="173"/>
      <c r="M28" s="173"/>
      <c r="N28" s="254">
        <f t="shared" si="5"/>
        <v>103577700</v>
      </c>
    </row>
    <row r="29" spans="2:14" s="8" customFormat="1" ht="27.75" customHeight="1">
      <c r="B29" s="231"/>
      <c r="C29" s="232"/>
      <c r="D29" s="259" t="s">
        <v>1061</v>
      </c>
      <c r="E29" s="233"/>
      <c r="F29" s="173">
        <v>384093196</v>
      </c>
      <c r="G29" s="173">
        <v>343427388</v>
      </c>
      <c r="H29" s="173">
        <v>338346504</v>
      </c>
      <c r="I29" s="254">
        <f t="shared" si="4"/>
        <v>1065867088</v>
      </c>
      <c r="K29" s="173">
        <f>'3-4) 예산-실적 비교'!AA114</f>
        <v>359653729</v>
      </c>
      <c r="L29" s="173"/>
      <c r="M29" s="173"/>
      <c r="N29" s="254">
        <f t="shared" si="5"/>
        <v>359653729</v>
      </c>
    </row>
    <row r="30" spans="2:14" s="8" customFormat="1" ht="27.75" customHeight="1">
      <c r="B30" s="231"/>
      <c r="C30" s="232"/>
      <c r="D30" s="260" t="s">
        <v>1062</v>
      </c>
      <c r="E30" s="233"/>
      <c r="F30" s="173">
        <v>203065128</v>
      </c>
      <c r="G30" s="173">
        <v>202234537</v>
      </c>
      <c r="H30" s="173">
        <v>199233161</v>
      </c>
      <c r="I30" s="254">
        <f t="shared" si="4"/>
        <v>604532826</v>
      </c>
      <c r="K30" s="173">
        <f>'3-4) 예산-실적 비교'!AA115</f>
        <v>229373034</v>
      </c>
      <c r="L30" s="173"/>
      <c r="M30" s="173"/>
      <c r="N30" s="254">
        <f t="shared" si="5"/>
        <v>229373034</v>
      </c>
    </row>
    <row r="31" spans="2:14" s="8" customFormat="1" ht="27.75" customHeight="1">
      <c r="B31" s="231"/>
      <c r="C31" s="232"/>
      <c r="D31" s="261" t="s">
        <v>218</v>
      </c>
      <c r="E31" s="233"/>
      <c r="F31" s="173">
        <v>180238913</v>
      </c>
      <c r="G31" s="173">
        <v>141192851</v>
      </c>
      <c r="H31" s="173">
        <v>117054498</v>
      </c>
      <c r="I31" s="254"/>
      <c r="K31" s="173">
        <f>'3-4) 예산-실적 비교'!AA116</f>
        <v>129032313</v>
      </c>
      <c r="L31" s="173"/>
      <c r="M31" s="173"/>
      <c r="N31" s="254">
        <f t="shared" si="5"/>
        <v>129032313</v>
      </c>
    </row>
    <row r="32" spans="2:14" s="8" customFormat="1" ht="27.75" customHeight="1">
      <c r="B32" s="231"/>
      <c r="C32" s="232"/>
      <c r="D32" s="261" t="s">
        <v>217</v>
      </c>
      <c r="E32" s="233"/>
      <c r="F32" s="173">
        <v>789155</v>
      </c>
      <c r="G32" s="173">
        <v>0</v>
      </c>
      <c r="H32" s="173">
        <v>22058845</v>
      </c>
      <c r="I32" s="254"/>
      <c r="K32" s="173">
        <f>'3-4) 예산-실적 비교'!AA117</f>
        <v>1248382</v>
      </c>
      <c r="L32" s="173"/>
      <c r="M32" s="173"/>
      <c r="N32" s="254">
        <f t="shared" si="5"/>
        <v>1248382</v>
      </c>
    </row>
    <row r="33" spans="2:15" s="8" customFormat="1" ht="27.75" customHeight="1">
      <c r="B33" s="231"/>
      <c r="C33" s="232"/>
      <c r="D33" s="262"/>
      <c r="E33" s="233"/>
      <c r="F33" s="173"/>
      <c r="G33" s="173"/>
      <c r="H33" s="173"/>
      <c r="I33" s="254">
        <f t="shared" si="4"/>
        <v>0</v>
      </c>
      <c r="K33" s="173">
        <f>'3-4) 예산-실적 비교'!AA118</f>
        <v>0</v>
      </c>
      <c r="L33" s="173"/>
      <c r="M33" s="173"/>
      <c r="N33" s="254">
        <f t="shared" si="5"/>
        <v>0</v>
      </c>
    </row>
    <row r="34" spans="2:15" s="8" customFormat="1" ht="27" customHeight="1">
      <c r="B34" s="231"/>
      <c r="C34" s="232"/>
      <c r="D34" s="259" t="s">
        <v>237</v>
      </c>
      <c r="E34" s="233"/>
      <c r="F34" s="173">
        <v>13944640</v>
      </c>
      <c r="G34" s="173">
        <v>13944640</v>
      </c>
      <c r="H34" s="173">
        <v>13944640</v>
      </c>
      <c r="I34" s="254">
        <f t="shared" si="4"/>
        <v>41833920</v>
      </c>
      <c r="K34" s="173">
        <f>'3-4) 예산-실적 비교'!AA119</f>
        <v>13944640</v>
      </c>
      <c r="L34" s="173"/>
      <c r="M34" s="173"/>
      <c r="N34" s="254">
        <f t="shared" si="5"/>
        <v>13944640</v>
      </c>
    </row>
    <row r="35" spans="2:15" s="8" customFormat="1" ht="27" customHeight="1">
      <c r="B35" s="231"/>
      <c r="C35" s="232"/>
      <c r="D35" s="259"/>
      <c r="E35" s="233"/>
      <c r="F35" s="173"/>
      <c r="G35" s="173"/>
      <c r="H35" s="173"/>
      <c r="I35" s="254">
        <f t="shared" si="4"/>
        <v>0</v>
      </c>
      <c r="K35" s="173">
        <f>'3-4) 예산-실적 비교'!AA120</f>
        <v>0</v>
      </c>
      <c r="L35" s="173"/>
      <c r="M35" s="173"/>
      <c r="N35" s="254">
        <f t="shared" si="5"/>
        <v>0</v>
      </c>
    </row>
    <row r="36" spans="2:15" s="8" customFormat="1" ht="27.75" customHeight="1">
      <c r="B36" s="231"/>
      <c r="C36" s="232"/>
      <c r="D36" s="259" t="s">
        <v>267</v>
      </c>
      <c r="E36" s="233"/>
      <c r="F36" s="173">
        <v>67203250</v>
      </c>
      <c r="G36" s="173">
        <v>60974230</v>
      </c>
      <c r="H36" s="173">
        <v>84160200</v>
      </c>
      <c r="I36" s="254">
        <f t="shared" si="4"/>
        <v>212337680</v>
      </c>
      <c r="K36" s="173">
        <f>'3-4) 예산-실적 비교'!AA121</f>
        <v>65311000</v>
      </c>
      <c r="L36" s="173"/>
      <c r="M36" s="173"/>
      <c r="N36" s="254">
        <f t="shared" si="5"/>
        <v>65311000</v>
      </c>
    </row>
    <row r="37" spans="2:15" s="8" customFormat="1" ht="27.75" customHeight="1">
      <c r="B37" s="231"/>
      <c r="C37" s="232"/>
      <c r="D37" s="260" t="s">
        <v>1030</v>
      </c>
      <c r="E37" s="233"/>
      <c r="F37" s="173">
        <v>0</v>
      </c>
      <c r="G37" s="173">
        <v>0</v>
      </c>
      <c r="H37" s="173">
        <v>0</v>
      </c>
      <c r="I37" s="254">
        <f t="shared" si="4"/>
        <v>0</v>
      </c>
      <c r="K37" s="173">
        <f>'3-4) 예산-실적 비교'!AA122</f>
        <v>0</v>
      </c>
      <c r="L37" s="174"/>
      <c r="M37" s="174"/>
      <c r="N37" s="254">
        <f t="shared" si="5"/>
        <v>0</v>
      </c>
    </row>
    <row r="38" spans="2:15" s="8" customFormat="1" ht="27.75" customHeight="1">
      <c r="B38" s="231"/>
      <c r="C38" s="232"/>
      <c r="D38" s="260" t="s">
        <v>1063</v>
      </c>
      <c r="E38" s="233"/>
      <c r="F38" s="173">
        <v>64601770</v>
      </c>
      <c r="G38" s="173">
        <v>64601770</v>
      </c>
      <c r="H38" s="173">
        <v>64601770</v>
      </c>
      <c r="I38" s="254">
        <f t="shared" si="4"/>
        <v>193805310</v>
      </c>
      <c r="K38" s="173">
        <f>'3-4) 예산-실적 비교'!AA123</f>
        <v>65311000</v>
      </c>
      <c r="L38" s="174"/>
      <c r="M38" s="174"/>
      <c r="N38" s="254">
        <f t="shared" si="5"/>
        <v>65311000</v>
      </c>
    </row>
    <row r="39" spans="2:15" s="8" customFormat="1" ht="27.75" customHeight="1">
      <c r="B39" s="231"/>
      <c r="C39" s="2823" t="s">
        <v>1064</v>
      </c>
      <c r="D39" s="2824"/>
      <c r="E39" s="237"/>
      <c r="F39" s="171">
        <v>896768114</v>
      </c>
      <c r="G39" s="171">
        <v>1075001716</v>
      </c>
      <c r="H39" s="171">
        <v>1165786947</v>
      </c>
      <c r="I39" s="64">
        <v>3137556777</v>
      </c>
      <c r="K39" s="171">
        <f>K11-K16</f>
        <v>886324318</v>
      </c>
      <c r="L39" s="171">
        <f>L11-L16</f>
        <v>0</v>
      </c>
      <c r="M39" s="171">
        <f>M11-M16</f>
        <v>0</v>
      </c>
      <c r="N39" s="64">
        <f>N11-N16</f>
        <v>886324318</v>
      </c>
      <c r="O39" s="214" t="b">
        <f>K39='3-4) 예산-실적 비교'!I78</f>
        <v>0</v>
      </c>
    </row>
    <row r="40" spans="2:15" s="8" customFormat="1" ht="27.75" customHeight="1">
      <c r="B40" s="229"/>
      <c r="C40" s="2825" t="s">
        <v>484</v>
      </c>
      <c r="D40" s="2826"/>
      <c r="E40" s="235"/>
      <c r="F40" s="175">
        <v>0</v>
      </c>
      <c r="G40" s="175">
        <v>0</v>
      </c>
      <c r="H40" s="175">
        <v>0</v>
      </c>
      <c r="I40" s="246">
        <f>SUM(F40:H40)</f>
        <v>0</v>
      </c>
      <c r="K40" s="175">
        <v>0</v>
      </c>
      <c r="L40" s="175">
        <v>0</v>
      </c>
      <c r="M40" s="175">
        <v>0</v>
      </c>
      <c r="N40" s="246">
        <f>SUM(K40:M40)</f>
        <v>0</v>
      </c>
    </row>
    <row r="41" spans="2:15" s="8" customFormat="1" ht="27.75" customHeight="1">
      <c r="B41" s="231"/>
      <c r="C41" s="2827" t="s">
        <v>1065</v>
      </c>
      <c r="D41" s="2828"/>
      <c r="E41" s="233"/>
      <c r="F41" s="175">
        <v>0</v>
      </c>
      <c r="G41" s="175">
        <v>0</v>
      </c>
      <c r="H41" s="175">
        <v>0</v>
      </c>
      <c r="I41" s="246">
        <f>SUM(F41:H41)</f>
        <v>0</v>
      </c>
      <c r="K41" s="175">
        <v>0</v>
      </c>
      <c r="L41" s="175">
        <v>0</v>
      </c>
      <c r="M41" s="175">
        <v>0</v>
      </c>
      <c r="N41" s="246">
        <f>SUM(K41:M41)</f>
        <v>0</v>
      </c>
    </row>
    <row r="42" spans="2:15" s="8" customFormat="1" ht="27.75" customHeight="1">
      <c r="B42" s="231"/>
      <c r="C42" s="2829" t="s">
        <v>1066</v>
      </c>
      <c r="D42" s="2830"/>
      <c r="E42" s="238"/>
      <c r="F42" s="176">
        <v>896768114</v>
      </c>
      <c r="G42" s="176">
        <v>1075001716</v>
      </c>
      <c r="H42" s="176">
        <v>1165786947</v>
      </c>
      <c r="I42" s="65">
        <v>3137556777</v>
      </c>
      <c r="K42" s="176">
        <f t="shared" ref="K42:M42" si="6">K39</f>
        <v>886324318</v>
      </c>
      <c r="L42" s="176">
        <f t="shared" si="6"/>
        <v>0</v>
      </c>
      <c r="M42" s="176">
        <f t="shared" si="6"/>
        <v>0</v>
      </c>
      <c r="N42" s="65">
        <f>N39</f>
        <v>886324318</v>
      </c>
    </row>
    <row r="43" spans="2:15" s="8" customFormat="1" ht="27.75" customHeight="1">
      <c r="B43" s="229"/>
      <c r="C43" s="239"/>
      <c r="D43" s="240"/>
      <c r="E43" s="240"/>
      <c r="F43" s="214"/>
      <c r="G43" s="214"/>
      <c r="H43" s="214"/>
      <c r="I43" s="214"/>
      <c r="K43" s="214"/>
      <c r="L43" s="214"/>
      <c r="M43" s="214"/>
      <c r="N43" s="214"/>
    </row>
    <row r="44" spans="2:15" s="8" customFormat="1" ht="27.75" customHeight="1">
      <c r="B44" s="229"/>
      <c r="C44" s="241"/>
      <c r="D44" s="242"/>
      <c r="E44" s="242"/>
      <c r="F44" s="214"/>
      <c r="G44" s="214"/>
      <c r="H44" s="214"/>
      <c r="I44" s="214"/>
      <c r="K44" s="214"/>
      <c r="L44" s="214"/>
      <c r="M44" s="214"/>
      <c r="N44" s="214"/>
    </row>
    <row r="45" spans="2:15" s="8" customFormat="1" ht="27.75" customHeight="1">
      <c r="B45" s="229"/>
      <c r="C45" s="241"/>
      <c r="D45" s="242"/>
      <c r="E45" s="242"/>
      <c r="F45" s="214"/>
      <c r="G45" s="214"/>
      <c r="H45" s="214"/>
      <c r="I45" s="214"/>
      <c r="K45" s="214"/>
      <c r="L45" s="214"/>
      <c r="M45" s="214"/>
      <c r="N45" s="214"/>
    </row>
    <row r="46" spans="2:15" s="8" customFormat="1" ht="12" customHeight="1">
      <c r="B46" s="229"/>
      <c r="C46" s="241"/>
      <c r="D46" s="242"/>
      <c r="E46" s="242"/>
      <c r="F46" s="214"/>
      <c r="G46" s="214"/>
      <c r="H46" s="214"/>
      <c r="I46" s="214"/>
      <c r="K46" s="214"/>
      <c r="L46" s="214"/>
      <c r="M46" s="214"/>
      <c r="N46" s="214"/>
    </row>
    <row r="47" spans="2:15" s="8" customFormat="1" ht="20.100000000000001" customHeight="1">
      <c r="B47" s="229"/>
      <c r="C47" s="241"/>
      <c r="D47" s="242"/>
      <c r="E47" s="242"/>
      <c r="F47" s="214"/>
      <c r="G47" s="214"/>
      <c r="H47" s="214"/>
      <c r="I47" s="214"/>
      <c r="K47" s="214"/>
      <c r="L47" s="214"/>
      <c r="M47" s="214"/>
      <c r="N47" s="214"/>
    </row>
    <row r="48" spans="2:15" s="8" customFormat="1" ht="20.100000000000001" customHeight="1">
      <c r="B48" s="229"/>
      <c r="C48" s="241"/>
      <c r="D48" s="242"/>
      <c r="E48" s="242"/>
      <c r="F48" s="214"/>
      <c r="G48" s="214"/>
      <c r="H48" s="214"/>
      <c r="I48" s="214"/>
      <c r="K48" s="214"/>
      <c r="L48" s="214"/>
      <c r="M48" s="214"/>
      <c r="N48" s="214"/>
    </row>
    <row r="49" spans="2:14" s="8" customFormat="1" ht="20.100000000000001" customHeight="1">
      <c r="B49" s="229"/>
      <c r="C49" s="241"/>
      <c r="D49" s="242"/>
      <c r="E49" s="242"/>
      <c r="F49" s="214"/>
      <c r="G49" s="214"/>
      <c r="H49" s="214"/>
      <c r="I49" s="214"/>
      <c r="K49" s="214"/>
      <c r="L49" s="214"/>
      <c r="M49" s="214"/>
      <c r="N49" s="214"/>
    </row>
    <row r="50" spans="2:14" s="8" customFormat="1" ht="20.100000000000001" customHeight="1">
      <c r="B50" s="229"/>
      <c r="C50" s="241"/>
      <c r="D50" s="242"/>
      <c r="E50" s="242"/>
      <c r="F50" s="214"/>
      <c r="G50" s="214"/>
      <c r="H50" s="214"/>
      <c r="I50" s="214"/>
      <c r="K50" s="214"/>
      <c r="L50" s="214"/>
      <c r="M50" s="214"/>
      <c r="N50" s="214"/>
    </row>
    <row r="51" spans="2:14" s="8" customFormat="1" ht="20.100000000000001" customHeight="1">
      <c r="B51" s="229"/>
      <c r="C51" s="241"/>
      <c r="D51" s="242"/>
      <c r="E51" s="242"/>
      <c r="F51" s="214"/>
      <c r="G51" s="214"/>
      <c r="H51" s="214"/>
      <c r="I51" s="214"/>
      <c r="K51" s="214"/>
      <c r="L51" s="214"/>
      <c r="M51" s="214"/>
      <c r="N51" s="214"/>
    </row>
    <row r="52" spans="2:14" s="8" customFormat="1" ht="20.100000000000001" customHeight="1">
      <c r="B52" s="229"/>
      <c r="C52" s="241"/>
      <c r="D52" s="242"/>
      <c r="E52" s="242"/>
      <c r="F52" s="214"/>
      <c r="G52" s="214"/>
      <c r="H52" s="214"/>
      <c r="I52" s="214"/>
      <c r="K52" s="214"/>
      <c r="L52" s="214"/>
      <c r="M52" s="214"/>
      <c r="N52" s="214"/>
    </row>
    <row r="53" spans="2:14" s="8" customFormat="1" ht="20.100000000000001" customHeight="1">
      <c r="B53" s="229"/>
      <c r="C53" s="241"/>
      <c r="D53" s="242"/>
      <c r="E53" s="242"/>
      <c r="F53" s="214"/>
      <c r="G53" s="214"/>
      <c r="H53" s="214"/>
      <c r="I53" s="214"/>
      <c r="K53" s="214"/>
      <c r="L53" s="214"/>
      <c r="M53" s="214"/>
      <c r="N53" s="214"/>
    </row>
    <row r="54" spans="2:14" ht="20.100000000000001" customHeight="1"/>
    <row r="55" spans="2:14" ht="20.100000000000001" customHeight="1"/>
    <row r="56" spans="2:14" ht="20.100000000000001" customHeight="1"/>
    <row r="57" spans="2:14">
      <c r="F57" s="66" t="s">
        <v>1067</v>
      </c>
      <c r="G57" s="243" t="s">
        <v>257</v>
      </c>
      <c r="H57" s="243" t="s">
        <v>1068</v>
      </c>
      <c r="I57" s="243" t="s">
        <v>259</v>
      </c>
      <c r="K57" s="66" t="s">
        <v>1069</v>
      </c>
      <c r="L57" s="243" t="s">
        <v>1070</v>
      </c>
      <c r="M57" s="243" t="s">
        <v>258</v>
      </c>
      <c r="N57" s="243" t="s">
        <v>1071</v>
      </c>
    </row>
    <row r="58" spans="2:14">
      <c r="F58" s="245" t="s">
        <v>1072</v>
      </c>
      <c r="G58" s="244">
        <f>F12</f>
        <v>1275618738</v>
      </c>
      <c r="H58" s="244">
        <f>G12</f>
        <v>972375031</v>
      </c>
      <c r="I58" s="244">
        <f>H12</f>
        <v>1181463826</v>
      </c>
      <c r="K58" s="245" t="s">
        <v>1073</v>
      </c>
      <c r="L58" s="244">
        <f>K12</f>
        <v>1007004751</v>
      </c>
      <c r="M58" s="244">
        <f>L12</f>
        <v>0</v>
      </c>
      <c r="N58" s="244">
        <f>M12</f>
        <v>0</v>
      </c>
    </row>
    <row r="59" spans="2:14">
      <c r="D59" s="2819"/>
      <c r="E59" s="2819"/>
      <c r="F59" s="245" t="s">
        <v>269</v>
      </c>
      <c r="G59" s="244">
        <f>F16</f>
        <v>1076872006</v>
      </c>
      <c r="H59" s="244">
        <f>G16</f>
        <v>1028707984</v>
      </c>
      <c r="I59" s="244">
        <f>H16</f>
        <v>1350091727</v>
      </c>
      <c r="K59" s="245" t="s">
        <v>269</v>
      </c>
      <c r="L59" s="244">
        <f>K16</f>
        <v>1075152994</v>
      </c>
      <c r="M59" s="244">
        <f>L16</f>
        <v>0</v>
      </c>
      <c r="N59" s="244">
        <f>M16</f>
        <v>0</v>
      </c>
    </row>
    <row r="60" spans="2:14">
      <c r="F60" s="245" t="s">
        <v>881</v>
      </c>
      <c r="G60" s="244">
        <f t="shared" ref="G60:I61" si="7">F39</f>
        <v>896768114</v>
      </c>
      <c r="H60" s="244">
        <f t="shared" si="7"/>
        <v>1075001716</v>
      </c>
      <c r="I60" s="244">
        <f t="shared" si="7"/>
        <v>1165786947</v>
      </c>
      <c r="K60" s="245" t="s">
        <v>881</v>
      </c>
      <c r="L60" s="244">
        <f t="shared" ref="L60:N61" si="8">K39</f>
        <v>886324318</v>
      </c>
      <c r="M60" s="244">
        <f t="shared" si="8"/>
        <v>0</v>
      </c>
      <c r="N60" s="244">
        <f t="shared" si="8"/>
        <v>0</v>
      </c>
    </row>
    <row r="61" spans="2:14">
      <c r="F61" s="245" t="s">
        <v>226</v>
      </c>
      <c r="G61" s="244">
        <f t="shared" si="7"/>
        <v>0</v>
      </c>
      <c r="H61" s="244">
        <f t="shared" si="7"/>
        <v>0</v>
      </c>
      <c r="I61" s="244">
        <f t="shared" si="7"/>
        <v>0</v>
      </c>
      <c r="K61" s="245" t="s">
        <v>226</v>
      </c>
      <c r="L61" s="244">
        <f t="shared" si="8"/>
        <v>0</v>
      </c>
      <c r="M61" s="244">
        <f t="shared" si="8"/>
        <v>0</v>
      </c>
      <c r="N61" s="244">
        <f t="shared" si="8"/>
        <v>0</v>
      </c>
    </row>
    <row r="62" spans="2:14">
      <c r="F62" s="245" t="s">
        <v>1074</v>
      </c>
      <c r="G62" s="244">
        <f>F42</f>
        <v>896768114</v>
      </c>
      <c r="H62" s="244">
        <f>G42</f>
        <v>1075001716</v>
      </c>
      <c r="I62" s="244">
        <f>H42</f>
        <v>1165786947</v>
      </c>
      <c r="K62" s="245" t="s">
        <v>1074</v>
      </c>
      <c r="L62" s="244">
        <f>K42</f>
        <v>886324318</v>
      </c>
      <c r="M62" s="244">
        <f>L42</f>
        <v>0</v>
      </c>
      <c r="N62" s="244">
        <f>M42</f>
        <v>0</v>
      </c>
    </row>
  </sheetData>
  <mergeCells count="7">
    <mergeCell ref="D59:E59"/>
    <mergeCell ref="F9:I9"/>
    <mergeCell ref="K9:N9"/>
    <mergeCell ref="C39:D39"/>
    <mergeCell ref="C40:D40"/>
    <mergeCell ref="C41:D41"/>
    <mergeCell ref="C42:D42"/>
  </mergeCells>
  <phoneticPr fontId="6" type="noConversion"/>
  <pageMargins left="0.7" right="0.7" top="0.75" bottom="0.75" header="0.3" footer="0.3"/>
  <pageSetup paperSize="9" scale="41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F76"/>
  <sheetViews>
    <sheetView showGridLines="0" zoomScale="85" zoomScaleNormal="85" zoomScaleSheetLayoutView="80" workbookViewId="0">
      <selection activeCell="H36" sqref="H36"/>
    </sheetView>
  </sheetViews>
  <sheetFormatPr defaultColWidth="9" defaultRowHeight="16.5"/>
  <cols>
    <col min="1" max="1" width="3.5" style="343" customWidth="1"/>
    <col min="2" max="2" width="4" style="341" customWidth="1"/>
    <col min="3" max="3" width="29.25" style="341" customWidth="1"/>
    <col min="4" max="4" width="34.125" style="342" customWidth="1"/>
    <col min="5" max="16384" width="9" style="343"/>
  </cols>
  <sheetData>
    <row r="1" spans="2:6" ht="12" customHeight="1"/>
    <row r="2" spans="2:6" ht="15.95" customHeight="1">
      <c r="B2" s="2418" t="s">
        <v>1579</v>
      </c>
      <c r="C2" s="2418"/>
      <c r="D2" s="2418"/>
    </row>
    <row r="3" spans="2:6" ht="15.95" customHeight="1">
      <c r="B3" s="2419"/>
      <c r="C3" s="2419"/>
      <c r="D3" s="2419"/>
    </row>
    <row r="4" spans="2:6" ht="15.95" customHeight="1">
      <c r="B4" s="2419"/>
      <c r="C4" s="2419"/>
      <c r="D4" s="2419"/>
    </row>
    <row r="5" spans="2:6" ht="15.95" customHeight="1">
      <c r="B5" s="341" t="s">
        <v>1580</v>
      </c>
    </row>
    <row r="6" spans="2:6" ht="15.95" customHeight="1">
      <c r="B6" s="344"/>
      <c r="C6" s="345" t="s">
        <v>1581</v>
      </c>
      <c r="D6" s="346" t="s">
        <v>1582</v>
      </c>
      <c r="F6" s="347" t="s">
        <v>1583</v>
      </c>
    </row>
    <row r="7" spans="2:6" ht="15.95" customHeight="1">
      <c r="B7" s="344"/>
      <c r="C7" s="348"/>
      <c r="D7" s="349"/>
      <c r="F7" s="347" t="s">
        <v>1584</v>
      </c>
    </row>
    <row r="8" spans="2:6" ht="15.95" customHeight="1">
      <c r="B8" s="2420" t="s">
        <v>1585</v>
      </c>
      <c r="C8" s="2421"/>
      <c r="D8" s="350"/>
    </row>
    <row r="9" spans="2:6" ht="15.95" customHeight="1">
      <c r="B9" s="2422" t="s">
        <v>1586</v>
      </c>
      <c r="C9" s="2423"/>
      <c r="D9" s="421">
        <f>SUM(D10)</f>
        <v>6290460240.3870964</v>
      </c>
    </row>
    <row r="10" spans="2:6" ht="15.95" customHeight="1">
      <c r="B10" s="2416" t="s">
        <v>1587</v>
      </c>
      <c r="C10" s="2417"/>
      <c r="D10" s="423">
        <f>SUM(D11:D19)</f>
        <v>6290460240.3870964</v>
      </c>
    </row>
    <row r="11" spans="2:6" ht="15.95" customHeight="1">
      <c r="B11" s="351" t="s">
        <v>1588</v>
      </c>
      <c r="C11" s="352" t="s">
        <v>1589</v>
      </c>
      <c r="D11" s="425">
        <v>697893634</v>
      </c>
    </row>
    <row r="12" spans="2:6" ht="15.95" customHeight="1">
      <c r="B12" s="351" t="s">
        <v>1590</v>
      </c>
      <c r="C12" s="352" t="s">
        <v>1591</v>
      </c>
      <c r="D12" s="425">
        <v>4575367810</v>
      </c>
    </row>
    <row r="13" spans="2:6" ht="15.95" customHeight="1">
      <c r="B13" s="351" t="s">
        <v>191</v>
      </c>
      <c r="C13" s="353" t="s">
        <v>1592</v>
      </c>
      <c r="D13" s="425">
        <v>10178309.387096405</v>
      </c>
    </row>
    <row r="14" spans="2:6" ht="15.95" customHeight="1">
      <c r="B14" s="351" t="s">
        <v>192</v>
      </c>
      <c r="C14" s="352" t="s">
        <v>1593</v>
      </c>
      <c r="D14" s="423">
        <v>0</v>
      </c>
    </row>
    <row r="15" spans="2:6" ht="15.95" customHeight="1">
      <c r="B15" s="351" t="s">
        <v>193</v>
      </c>
      <c r="C15" s="352" t="s">
        <v>1594</v>
      </c>
      <c r="D15" s="425">
        <v>829668338</v>
      </c>
    </row>
    <row r="16" spans="2:6" ht="15.95" customHeight="1">
      <c r="B16" s="351" t="s">
        <v>194</v>
      </c>
      <c r="C16" s="352" t="s">
        <v>1595</v>
      </c>
      <c r="D16" s="425">
        <v>0</v>
      </c>
    </row>
    <row r="17" spans="1:4" ht="15.95" customHeight="1">
      <c r="B17" s="351" t="s">
        <v>195</v>
      </c>
      <c r="C17" s="353" t="s">
        <v>1596</v>
      </c>
      <c r="D17" s="425">
        <v>154984169</v>
      </c>
    </row>
    <row r="18" spans="1:4" ht="15.95" customHeight="1">
      <c r="A18" s="354"/>
      <c r="B18" s="355" t="s">
        <v>196</v>
      </c>
      <c r="C18" s="353" t="s">
        <v>1597</v>
      </c>
      <c r="D18" s="425">
        <v>0</v>
      </c>
    </row>
    <row r="19" spans="1:4" ht="15.95" customHeight="1">
      <c r="B19" s="351" t="s">
        <v>197</v>
      </c>
      <c r="C19" s="353" t="s">
        <v>1598</v>
      </c>
      <c r="D19" s="425">
        <v>22367980</v>
      </c>
    </row>
    <row r="20" spans="1:4" ht="15.95" customHeight="1">
      <c r="B20" s="2422" t="s">
        <v>1599</v>
      </c>
      <c r="C20" s="2423"/>
      <c r="D20" s="423">
        <f>SUM(D23,D28,D21)</f>
        <v>398761339076</v>
      </c>
    </row>
    <row r="21" spans="1:4" ht="15.95" customHeight="1">
      <c r="B21" s="2424" t="s">
        <v>1600</v>
      </c>
      <c r="C21" s="2425"/>
      <c r="D21" s="423">
        <f>D22</f>
        <v>12295972610</v>
      </c>
    </row>
    <row r="22" spans="1:4" ht="15.95" customHeight="1">
      <c r="B22" s="356" t="s">
        <v>1588</v>
      </c>
      <c r="C22" s="357" t="s">
        <v>1601</v>
      </c>
      <c r="D22" s="425">
        <v>12295972610</v>
      </c>
    </row>
    <row r="23" spans="1:4" ht="15.95" customHeight="1">
      <c r="B23" s="2424" t="s">
        <v>1602</v>
      </c>
      <c r="C23" s="2425"/>
      <c r="D23" s="423">
        <f>SUM(D24:D27)</f>
        <v>385833078123</v>
      </c>
    </row>
    <row r="24" spans="1:4" ht="15.95" customHeight="1">
      <c r="B24" s="356" t="s">
        <v>1588</v>
      </c>
      <c r="C24" s="357" t="s">
        <v>1603</v>
      </c>
      <c r="D24" s="423">
        <v>160120000000</v>
      </c>
    </row>
    <row r="25" spans="1:4" ht="15.95" customHeight="1">
      <c r="B25" s="356" t="s">
        <v>1590</v>
      </c>
      <c r="C25" s="357" t="s">
        <v>1604</v>
      </c>
      <c r="D25" s="423">
        <v>240252470000</v>
      </c>
    </row>
    <row r="26" spans="1:4" ht="15.95" customHeight="1">
      <c r="B26" s="358"/>
      <c r="C26" s="357" t="s">
        <v>1605</v>
      </c>
      <c r="D26" s="427">
        <v>-14539391877</v>
      </c>
    </row>
    <row r="27" spans="1:4" ht="15.95" customHeight="1">
      <c r="B27" s="351" t="s">
        <v>191</v>
      </c>
      <c r="C27" s="359" t="s">
        <v>1606</v>
      </c>
      <c r="D27" s="423">
        <v>0</v>
      </c>
    </row>
    <row r="28" spans="1:4" ht="15.95" customHeight="1">
      <c r="B28" s="2416" t="s">
        <v>1607</v>
      </c>
      <c r="C28" s="2417"/>
      <c r="D28" s="428">
        <f>SUM(D29:D30)</f>
        <v>632288343</v>
      </c>
    </row>
    <row r="29" spans="1:4" ht="15.95" customHeight="1">
      <c r="B29" s="360" t="s">
        <v>1608</v>
      </c>
      <c r="C29" s="361" t="s">
        <v>1609</v>
      </c>
      <c r="D29" s="428">
        <v>481727000</v>
      </c>
    </row>
    <row r="30" spans="1:4" ht="15.95" customHeight="1">
      <c r="B30" s="362" t="s">
        <v>1590</v>
      </c>
      <c r="C30" s="363" t="s">
        <v>1610</v>
      </c>
      <c r="D30" s="430">
        <v>150561343</v>
      </c>
    </row>
    <row r="31" spans="1:4" ht="15.95" customHeight="1">
      <c r="B31" s="2426" t="s">
        <v>1611</v>
      </c>
      <c r="C31" s="2427"/>
      <c r="D31" s="901">
        <f>SUM(D9,D20)</f>
        <v>405051799316.38708</v>
      </c>
    </row>
    <row r="32" spans="1:4" ht="15.95" customHeight="1">
      <c r="B32" s="2420" t="s">
        <v>1612</v>
      </c>
      <c r="C32" s="2421"/>
      <c r="D32" s="963"/>
    </row>
    <row r="33" spans="2:4" ht="15.95" customHeight="1">
      <c r="B33" s="2428" t="s">
        <v>1613</v>
      </c>
      <c r="C33" s="2429"/>
      <c r="D33" s="421">
        <f>SUM(D34:D35,D45:D49)</f>
        <v>1917286043</v>
      </c>
    </row>
    <row r="34" spans="2:4" ht="15.95" customHeight="1">
      <c r="B34" s="351" t="s">
        <v>1588</v>
      </c>
      <c r="C34" s="353" t="s">
        <v>1614</v>
      </c>
      <c r="D34" s="425">
        <v>25851540</v>
      </c>
    </row>
    <row r="35" spans="2:4" ht="15.75" customHeight="1">
      <c r="B35" s="351" t="s">
        <v>1590</v>
      </c>
      <c r="C35" s="364" t="s">
        <v>1615</v>
      </c>
      <c r="D35" s="432">
        <f>SUM(D36:D44)</f>
        <v>1434943598</v>
      </c>
    </row>
    <row r="36" spans="2:4" ht="15.95" customHeight="1">
      <c r="B36" s="365"/>
      <c r="C36" s="366" t="s">
        <v>198</v>
      </c>
      <c r="D36" s="434">
        <v>0</v>
      </c>
    </row>
    <row r="37" spans="2:4" ht="15.95" customHeight="1">
      <c r="B37" s="365"/>
      <c r="C37" s="366" t="s">
        <v>199</v>
      </c>
      <c r="D37" s="434">
        <v>20250000</v>
      </c>
    </row>
    <row r="38" spans="2:4" ht="15.95" customHeight="1">
      <c r="B38" s="365"/>
      <c r="C38" s="366" t="s">
        <v>200</v>
      </c>
      <c r="D38" s="434">
        <v>8750000</v>
      </c>
    </row>
    <row r="39" spans="2:4" ht="15.95" customHeight="1">
      <c r="B39" s="365"/>
      <c r="C39" s="366" t="s">
        <v>201</v>
      </c>
      <c r="D39" s="434">
        <v>0</v>
      </c>
    </row>
    <row r="40" spans="2:4" ht="15.95" customHeight="1">
      <c r="B40" s="365"/>
      <c r="C40" s="366" t="s">
        <v>202</v>
      </c>
      <c r="D40" s="434">
        <v>0</v>
      </c>
    </row>
    <row r="41" spans="2:4" ht="15.95" customHeight="1">
      <c r="B41" s="365"/>
      <c r="C41" s="366" t="s">
        <v>1616</v>
      </c>
      <c r="D41" s="434">
        <v>500000</v>
      </c>
    </row>
    <row r="42" spans="2:4" ht="15.95" customHeight="1">
      <c r="B42" s="365"/>
      <c r="C42" s="366" t="s">
        <v>203</v>
      </c>
      <c r="D42" s="434">
        <v>334601028</v>
      </c>
    </row>
    <row r="43" spans="2:4" ht="15.95" customHeight="1">
      <c r="B43" s="365"/>
      <c r="C43" s="366" t="s">
        <v>1617</v>
      </c>
      <c r="D43" s="434">
        <v>479912800</v>
      </c>
    </row>
    <row r="44" spans="2:4" ht="15.95" customHeight="1">
      <c r="B44" s="365"/>
      <c r="C44" s="366" t="s">
        <v>1618</v>
      </c>
      <c r="D44" s="434">
        <v>590929770</v>
      </c>
    </row>
    <row r="45" spans="2:4" ht="15.95" customHeight="1">
      <c r="B45" s="367" t="s">
        <v>1619</v>
      </c>
      <c r="C45" s="352" t="s">
        <v>1620</v>
      </c>
      <c r="D45" s="423">
        <v>6250000</v>
      </c>
    </row>
    <row r="46" spans="2:4" ht="15.95" customHeight="1">
      <c r="B46" s="367" t="s">
        <v>192</v>
      </c>
      <c r="C46" s="352" t="s">
        <v>1621</v>
      </c>
      <c r="D46" s="423">
        <v>0</v>
      </c>
    </row>
    <row r="47" spans="2:4" ht="15.95" customHeight="1">
      <c r="B47" s="367" t="s">
        <v>193</v>
      </c>
      <c r="C47" s="353" t="s">
        <v>1622</v>
      </c>
      <c r="D47" s="425">
        <v>450240905</v>
      </c>
    </row>
    <row r="48" spans="2:4" ht="15.95" customHeight="1">
      <c r="B48" s="367" t="s">
        <v>1623</v>
      </c>
      <c r="C48" s="352" t="s">
        <v>1624</v>
      </c>
      <c r="D48" s="423">
        <v>0</v>
      </c>
    </row>
    <row r="49" spans="2:4" ht="15.95" customHeight="1">
      <c r="B49" s="360" t="s">
        <v>1625</v>
      </c>
      <c r="C49" s="353" t="s">
        <v>1626</v>
      </c>
      <c r="D49" s="425">
        <v>0</v>
      </c>
    </row>
    <row r="50" spans="2:4" ht="15.95" customHeight="1">
      <c r="B50" s="2422" t="s">
        <v>1627</v>
      </c>
      <c r="C50" s="2423"/>
      <c r="D50" s="421">
        <f>SUM(D51:D52)</f>
        <v>281937333820</v>
      </c>
    </row>
    <row r="51" spans="2:4" ht="15.95" customHeight="1">
      <c r="B51" s="368" t="s">
        <v>1608</v>
      </c>
      <c r="C51" s="357" t="s">
        <v>1628</v>
      </c>
      <c r="D51" s="423">
        <v>268000000000</v>
      </c>
    </row>
    <row r="52" spans="2:4" ht="15.95" customHeight="1">
      <c r="B52" s="368" t="s">
        <v>1629</v>
      </c>
      <c r="C52" s="357" t="s">
        <v>1630</v>
      </c>
      <c r="D52" s="436">
        <v>13937333820</v>
      </c>
    </row>
    <row r="53" spans="2:4" ht="15.95" customHeight="1">
      <c r="B53" s="2426" t="s">
        <v>1631</v>
      </c>
      <c r="C53" s="2427"/>
      <c r="D53" s="901">
        <f>SUM(D33,D50)</f>
        <v>283854619863</v>
      </c>
    </row>
    <row r="54" spans="2:4" ht="15.95" customHeight="1">
      <c r="B54" s="2422" t="s">
        <v>1632</v>
      </c>
      <c r="C54" s="2423"/>
      <c r="D54" s="423"/>
    </row>
    <row r="55" spans="2:4" ht="15.95" customHeight="1">
      <c r="B55" s="2428" t="s">
        <v>1633</v>
      </c>
      <c r="C55" s="2429"/>
      <c r="D55" s="421">
        <f>SUM(D56:D58)</f>
        <v>12700000000</v>
      </c>
    </row>
    <row r="56" spans="2:4" ht="15.95" customHeight="1">
      <c r="B56" s="351" t="s">
        <v>1588</v>
      </c>
      <c r="C56" s="352" t="s">
        <v>1634</v>
      </c>
      <c r="D56" s="423">
        <v>1500000000</v>
      </c>
    </row>
    <row r="57" spans="2:4" ht="15.95" customHeight="1">
      <c r="B57" s="351" t="s">
        <v>1590</v>
      </c>
      <c r="C57" s="352" t="s">
        <v>1635</v>
      </c>
      <c r="D57" s="423">
        <v>9200000000</v>
      </c>
    </row>
    <row r="58" spans="2:4" ht="15.95" customHeight="1">
      <c r="B58" s="351" t="s">
        <v>191</v>
      </c>
      <c r="C58" s="352" t="s">
        <v>1636</v>
      </c>
      <c r="D58" s="423">
        <v>2000000000</v>
      </c>
    </row>
    <row r="59" spans="2:4" ht="15.95" customHeight="1">
      <c r="B59" s="2422" t="s">
        <v>1637</v>
      </c>
      <c r="C59" s="2423"/>
      <c r="D59" s="421">
        <f>SUM(D60:D62)</f>
        <v>0</v>
      </c>
    </row>
    <row r="60" spans="2:4" ht="15.95" customHeight="1">
      <c r="B60" s="351" t="s">
        <v>1588</v>
      </c>
      <c r="C60" s="352" t="s">
        <v>1638</v>
      </c>
      <c r="D60" s="423">
        <v>0</v>
      </c>
    </row>
    <row r="61" spans="2:4" ht="15.95" customHeight="1">
      <c r="B61" s="351" t="s">
        <v>1590</v>
      </c>
      <c r="C61" s="352" t="s">
        <v>1639</v>
      </c>
      <c r="D61" s="423">
        <v>0</v>
      </c>
    </row>
    <row r="62" spans="2:4" ht="15.95" customHeight="1">
      <c r="B62" s="351" t="s">
        <v>1640</v>
      </c>
      <c r="C62" s="352" t="s">
        <v>1641</v>
      </c>
      <c r="D62" s="423">
        <v>0</v>
      </c>
    </row>
    <row r="63" spans="2:4" ht="15.95" customHeight="1">
      <c r="B63" s="2428" t="s">
        <v>1642</v>
      </c>
      <c r="C63" s="2429"/>
      <c r="D63" s="421">
        <f>D64</f>
        <v>33001343350</v>
      </c>
    </row>
    <row r="64" spans="2:4" ht="15.95" customHeight="1">
      <c r="B64" s="351" t="s">
        <v>1588</v>
      </c>
      <c r="C64" s="352" t="s">
        <v>1643</v>
      </c>
      <c r="D64" s="423">
        <v>33001343350</v>
      </c>
    </row>
    <row r="65" spans="2:4" ht="15.95" customHeight="1">
      <c r="B65" s="2428" t="s">
        <v>1644</v>
      </c>
      <c r="C65" s="2429"/>
      <c r="D65" s="421">
        <f>D66</f>
        <v>100101092722</v>
      </c>
    </row>
    <row r="66" spans="2:4" ht="15.95" customHeight="1">
      <c r="B66" s="351" t="s">
        <v>1588</v>
      </c>
      <c r="C66" s="352" t="s">
        <v>1645</v>
      </c>
      <c r="D66" s="423">
        <v>100101092722</v>
      </c>
    </row>
    <row r="67" spans="2:4" ht="15.95" customHeight="1">
      <c r="B67" s="2428" t="s">
        <v>1646</v>
      </c>
      <c r="C67" s="2429"/>
      <c r="D67" s="437">
        <f>SUM(D68:D70)</f>
        <v>-24605256618.612904</v>
      </c>
    </row>
    <row r="68" spans="2:4" ht="15.95" customHeight="1">
      <c r="B68" s="351" t="s">
        <v>1588</v>
      </c>
      <c r="C68" s="352" t="s">
        <v>204</v>
      </c>
      <c r="D68" s="427">
        <v>-25911890929.612904</v>
      </c>
    </row>
    <row r="69" spans="2:4" ht="15.95" customHeight="1">
      <c r="B69" s="351" t="s">
        <v>1590</v>
      </c>
      <c r="C69" s="352" t="s">
        <v>205</v>
      </c>
      <c r="D69" s="423">
        <v>0</v>
      </c>
    </row>
    <row r="70" spans="2:4" ht="15.95" customHeight="1">
      <c r="B70" s="351" t="s">
        <v>191</v>
      </c>
      <c r="C70" s="352" t="s">
        <v>1647</v>
      </c>
      <c r="D70" s="423">
        <v>1306634311</v>
      </c>
    </row>
    <row r="71" spans="2:4" ht="15.95" customHeight="1">
      <c r="B71" s="2426" t="s">
        <v>1648</v>
      </c>
      <c r="C71" s="2427"/>
      <c r="D71" s="901">
        <f>SUM(D55,D59,D63,D67,D65)</f>
        <v>121197179453.3871</v>
      </c>
    </row>
    <row r="72" spans="2:4">
      <c r="B72" s="2426" t="s">
        <v>1649</v>
      </c>
      <c r="C72" s="2427"/>
      <c r="D72" s="901">
        <f>SUM(D53,D71)</f>
        <v>405051799316.38708</v>
      </c>
    </row>
    <row r="73" spans="2:4">
      <c r="D73" s="369" t="b">
        <f>D31=D72</f>
        <v>1</v>
      </c>
    </row>
    <row r="74" spans="2:4">
      <c r="D74" s="370"/>
    </row>
    <row r="76" spans="2:4">
      <c r="D76" s="371">
        <f>D31-D72</f>
        <v>0</v>
      </c>
    </row>
  </sheetData>
  <mergeCells count="23">
    <mergeCell ref="B63:C63"/>
    <mergeCell ref="B65:C65"/>
    <mergeCell ref="B67:C67"/>
    <mergeCell ref="B71:C71"/>
    <mergeCell ref="B72:C72"/>
    <mergeCell ref="B59:C59"/>
    <mergeCell ref="B20:C20"/>
    <mergeCell ref="B21:C21"/>
    <mergeCell ref="B23:C23"/>
    <mergeCell ref="B28:C28"/>
    <mergeCell ref="B31:C31"/>
    <mergeCell ref="B32:C32"/>
    <mergeCell ref="B33:C33"/>
    <mergeCell ref="B50:C50"/>
    <mergeCell ref="B53:C53"/>
    <mergeCell ref="B54:C54"/>
    <mergeCell ref="B55:C55"/>
    <mergeCell ref="B10:C10"/>
    <mergeCell ref="B2:D2"/>
    <mergeCell ref="B3:D3"/>
    <mergeCell ref="B4:D4"/>
    <mergeCell ref="B8:C8"/>
    <mergeCell ref="B9:C9"/>
  </mergeCells>
  <phoneticPr fontId="6" type="noConversion"/>
  <pageMargins left="0.7" right="0.7" top="0.75" bottom="0.75" header="0.3" footer="0.3"/>
  <pageSetup paperSize="9" scale="60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59999389629810485"/>
  </sheetPr>
  <dimension ref="A1:AY61"/>
  <sheetViews>
    <sheetView showGridLines="0" view="pageBreakPreview" zoomScale="55" zoomScaleNormal="100" zoomScaleSheetLayoutView="55" workbookViewId="0">
      <selection activeCell="C2" sqref="C2"/>
    </sheetView>
  </sheetViews>
  <sheetFormatPr defaultColWidth="9" defaultRowHeight="15"/>
  <cols>
    <col min="1" max="1" width="1.875" style="1006" customWidth="1"/>
    <col min="2" max="2" width="2.625" style="1006" customWidth="1"/>
    <col min="3" max="6" width="12.75" style="1006" customWidth="1"/>
    <col min="7" max="7" width="15.625" style="1006" customWidth="1"/>
    <col min="8" max="13" width="12.75" style="1006" customWidth="1"/>
    <col min="14" max="20" width="10.75" style="1006" customWidth="1"/>
    <col min="21" max="21" width="12.125" style="1006" customWidth="1"/>
    <col min="22" max="22" width="2.375" style="1006" customWidth="1"/>
    <col min="23" max="23" width="2" style="1006" customWidth="1"/>
    <col min="24" max="16384" width="9" style="1006"/>
  </cols>
  <sheetData>
    <row r="1" spans="1:40">
      <c r="U1" s="1031"/>
      <c r="V1" s="1031"/>
    </row>
    <row r="2" spans="1:40" ht="31.9" customHeight="1">
      <c r="A2" s="1007"/>
      <c r="B2" s="2113" t="s">
        <v>1099</v>
      </c>
      <c r="C2" s="1599"/>
      <c r="D2" s="1579"/>
      <c r="E2" s="1579"/>
      <c r="F2" s="1580"/>
      <c r="G2" s="1580"/>
      <c r="H2" s="1580"/>
      <c r="I2" s="1580"/>
      <c r="J2" s="1580"/>
      <c r="K2" s="1580"/>
      <c r="L2" s="1580"/>
      <c r="M2" s="1580"/>
      <c r="N2" s="1580"/>
      <c r="O2" s="1580"/>
      <c r="P2" s="1580"/>
      <c r="Q2" s="1580"/>
      <c r="R2" s="1580"/>
      <c r="S2" s="1580"/>
      <c r="T2" s="1580"/>
      <c r="U2" s="1581"/>
      <c r="V2" s="1582"/>
      <c r="W2" s="1583"/>
    </row>
    <row r="3" spans="1:40">
      <c r="B3" s="1342"/>
      <c r="C3" s="1584"/>
      <c r="D3" s="1584"/>
      <c r="E3" s="1584"/>
      <c r="F3" s="1584"/>
      <c r="G3" s="1584"/>
      <c r="H3" s="1584"/>
      <c r="I3" s="1584"/>
      <c r="J3" s="1584"/>
      <c r="K3" s="1584"/>
      <c r="L3" s="1584"/>
      <c r="M3" s="1584"/>
      <c r="N3" s="1584"/>
      <c r="O3" s="1584"/>
      <c r="P3" s="1584"/>
      <c r="Q3" s="1584"/>
      <c r="R3" s="1584"/>
      <c r="S3" s="1584"/>
      <c r="T3" s="1584"/>
      <c r="U3" s="1584"/>
      <c r="V3" s="1031"/>
      <c r="W3" s="1584"/>
    </row>
    <row r="4" spans="1:40" ht="19.899999999999999" customHeight="1">
      <c r="B4" s="1342"/>
      <c r="C4" s="1585"/>
      <c r="D4" s="1584"/>
      <c r="E4" s="1584"/>
      <c r="F4" s="1584"/>
      <c r="V4" s="1031"/>
      <c r="W4" s="1584"/>
    </row>
    <row r="5" spans="1:40" ht="19.899999999999999" customHeight="1">
      <c r="B5" s="1342"/>
      <c r="C5" s="2834" t="s">
        <v>2178</v>
      </c>
      <c r="D5" s="2835"/>
      <c r="E5" s="2836"/>
      <c r="F5" s="2843">
        <f>I14</f>
        <v>3</v>
      </c>
      <c r="G5" s="2075"/>
      <c r="H5" s="2075"/>
      <c r="I5" s="2075"/>
      <c r="J5" s="2075"/>
      <c r="K5" s="2075"/>
      <c r="L5" s="2075"/>
      <c r="M5" s="2076"/>
      <c r="P5" s="1443" t="s">
        <v>2210</v>
      </c>
      <c r="Q5" s="2044"/>
      <c r="R5" s="2044"/>
      <c r="T5" s="2858" t="s">
        <v>271</v>
      </c>
      <c r="U5" s="2859"/>
      <c r="V5" s="2859"/>
      <c r="W5" s="2860"/>
      <c r="X5" s="1583"/>
      <c r="Y5" s="2040"/>
      <c r="Z5" s="2040"/>
      <c r="AA5" s="2040"/>
      <c r="AB5" s="2040"/>
      <c r="AC5" s="2044"/>
      <c r="AD5" s="2044"/>
      <c r="AE5" s="1031"/>
      <c r="AF5" s="1031"/>
      <c r="AG5" s="1031"/>
      <c r="AH5" s="1031"/>
      <c r="AI5" s="1031"/>
      <c r="AJ5" s="1031"/>
      <c r="AK5" s="1031"/>
      <c r="AL5" s="1031"/>
      <c r="AM5" s="1031"/>
      <c r="AN5" s="1031"/>
    </row>
    <row r="6" spans="1:40" ht="19.899999999999999" customHeight="1">
      <c r="B6" s="1342"/>
      <c r="C6" s="2837"/>
      <c r="D6" s="2838"/>
      <c r="E6" s="2839"/>
      <c r="F6" s="2844"/>
      <c r="G6" s="1031"/>
      <c r="H6" s="1031"/>
      <c r="I6" s="1031"/>
      <c r="J6" s="1031"/>
      <c r="K6" s="1031"/>
      <c r="L6" s="1031"/>
      <c r="M6" s="2077"/>
      <c r="P6" s="2044"/>
      <c r="Q6" s="2044"/>
      <c r="R6" s="2044"/>
      <c r="S6" s="1588"/>
      <c r="T6" s="2864" t="s">
        <v>272</v>
      </c>
      <c r="U6" s="2863"/>
      <c r="V6" s="2863"/>
      <c r="W6" s="2865"/>
      <c r="X6" s="1583"/>
      <c r="Y6" s="2040"/>
      <c r="Z6" s="2040"/>
      <c r="AA6" s="2040"/>
      <c r="AB6" s="2040"/>
      <c r="AC6" s="2040"/>
      <c r="AD6" s="2040"/>
      <c r="AE6" s="1031"/>
      <c r="AF6" s="1031"/>
      <c r="AG6" s="1031"/>
      <c r="AH6" s="1031"/>
      <c r="AI6" s="1031"/>
      <c r="AJ6" s="1031"/>
      <c r="AK6" s="1031"/>
      <c r="AL6" s="1031"/>
      <c r="AM6" s="1031"/>
      <c r="AN6" s="1031"/>
    </row>
    <row r="7" spans="1:40" ht="19.899999999999999" customHeight="1">
      <c r="B7" s="1342"/>
      <c r="C7" s="2840"/>
      <c r="D7" s="2841"/>
      <c r="E7" s="2842"/>
      <c r="F7" s="2845"/>
      <c r="G7" s="2078"/>
      <c r="H7" s="2078"/>
      <c r="I7" s="2078"/>
      <c r="J7" s="2078"/>
      <c r="K7" s="2078"/>
      <c r="L7" s="2078"/>
      <c r="M7" s="2065"/>
      <c r="P7" s="2044"/>
      <c r="Q7" s="2044"/>
      <c r="R7" s="2044"/>
      <c r="S7" s="1588"/>
      <c r="T7" s="2866"/>
      <c r="U7" s="2867"/>
      <c r="V7" s="2867"/>
      <c r="W7" s="2868"/>
      <c r="X7" s="1583"/>
      <c r="Y7" s="2040"/>
      <c r="Z7" s="2040"/>
      <c r="AA7" s="2040"/>
      <c r="AB7" s="2040"/>
      <c r="AC7" s="2041"/>
      <c r="AD7" s="2041"/>
      <c r="AE7" s="1031"/>
      <c r="AF7" s="1031"/>
      <c r="AG7" s="1031"/>
      <c r="AH7" s="1031"/>
      <c r="AI7" s="1031"/>
      <c r="AJ7" s="1031"/>
      <c r="AK7" s="1031"/>
      <c r="AL7" s="1031"/>
      <c r="AM7" s="1031"/>
      <c r="AN7" s="1031"/>
    </row>
    <row r="8" spans="1:40" ht="19.899999999999999" customHeight="1">
      <c r="B8" s="1342"/>
      <c r="D8" s="2063"/>
      <c r="E8" s="2063"/>
      <c r="P8" s="2040"/>
      <c r="Q8" s="2040"/>
      <c r="R8" s="2040"/>
      <c r="S8" s="1591"/>
      <c r="T8" s="2045"/>
      <c r="U8" s="2046"/>
      <c r="V8" s="1583"/>
      <c r="W8" s="1583"/>
      <c r="X8" s="1583"/>
      <c r="Y8" s="2040"/>
      <c r="Z8" s="2040"/>
      <c r="AA8" s="2040"/>
      <c r="AB8" s="2040"/>
      <c r="AC8" s="2041"/>
      <c r="AD8" s="2041"/>
      <c r="AE8" s="1031"/>
      <c r="AF8" s="1031"/>
      <c r="AG8" s="2082"/>
      <c r="AH8" s="2082"/>
      <c r="AI8" s="1583"/>
      <c r="AJ8" s="2082"/>
      <c r="AK8" s="2082"/>
      <c r="AL8" s="2082"/>
      <c r="AM8" s="2082"/>
      <c r="AN8" s="1031"/>
    </row>
    <row r="9" spans="1:40" ht="19.899999999999999" customHeight="1">
      <c r="B9" s="1342"/>
      <c r="D9" s="1583"/>
      <c r="E9" s="1583"/>
      <c r="P9" s="2040"/>
      <c r="Q9" s="2040"/>
      <c r="R9" s="2040"/>
      <c r="S9" s="1591"/>
      <c r="T9" s="1592"/>
      <c r="U9" s="1593"/>
      <c r="V9" s="1583"/>
      <c r="W9" s="1583"/>
      <c r="X9" s="1583"/>
      <c r="Y9" s="2040"/>
      <c r="Z9" s="2040"/>
      <c r="AA9" s="2040"/>
      <c r="AB9" s="2040"/>
      <c r="AC9" s="2041"/>
      <c r="AD9" s="2041"/>
      <c r="AE9" s="1031"/>
      <c r="AF9" s="1031"/>
      <c r="AG9" s="2082"/>
      <c r="AH9" s="2082"/>
      <c r="AI9" s="1583"/>
      <c r="AJ9" s="2081"/>
      <c r="AK9" s="2081"/>
      <c r="AL9" s="2081"/>
      <c r="AM9" s="2081"/>
      <c r="AN9" s="1031"/>
    </row>
    <row r="10" spans="1:40" ht="25.15" customHeight="1">
      <c r="B10" s="1342"/>
      <c r="C10" s="2062"/>
      <c r="D10" s="1583"/>
      <c r="E10" s="1583"/>
      <c r="F10" s="2090" t="s">
        <v>2193</v>
      </c>
      <c r="G10" s="2098"/>
      <c r="H10" s="2069" t="s">
        <v>2185</v>
      </c>
      <c r="I10" s="2069" t="s">
        <v>2184</v>
      </c>
      <c r="J10" s="2069" t="s">
        <v>2192</v>
      </c>
      <c r="K10" s="2079"/>
      <c r="L10" s="2087"/>
      <c r="M10" s="2087"/>
      <c r="P10" s="2855"/>
      <c r="Q10" s="2855"/>
      <c r="R10" s="2040"/>
      <c r="S10" s="2856" t="s">
        <v>273</v>
      </c>
      <c r="T10" s="2856"/>
      <c r="U10" s="2047"/>
      <c r="V10" s="2047"/>
      <c r="W10" s="2857"/>
      <c r="X10" s="2857"/>
      <c r="Y10" s="2040"/>
      <c r="Z10" s="2855"/>
      <c r="AA10" s="2855"/>
      <c r="AB10" s="2040"/>
      <c r="AC10" s="2041"/>
      <c r="AD10" s="2041"/>
      <c r="AE10" s="1031"/>
      <c r="AF10" s="1031"/>
      <c r="AG10" s="2067"/>
      <c r="AH10" s="2067"/>
      <c r="AI10" s="1583"/>
      <c r="AJ10" s="2104"/>
      <c r="AK10" s="2067"/>
      <c r="AL10" s="2067"/>
      <c r="AM10" s="2067"/>
      <c r="AN10" s="1031"/>
    </row>
    <row r="11" spans="1:40" ht="25.15" customHeight="1">
      <c r="B11" s="1342"/>
      <c r="C11" s="2062"/>
      <c r="D11" s="1583"/>
      <c r="E11" s="1583"/>
      <c r="F11" s="2851" t="s">
        <v>2181</v>
      </c>
      <c r="G11" s="2072" t="s">
        <v>2180</v>
      </c>
      <c r="H11" s="2070" t="s">
        <v>2186</v>
      </c>
      <c r="I11" s="2071" t="s">
        <v>2189</v>
      </c>
      <c r="J11" s="2099"/>
      <c r="K11" s="2079"/>
      <c r="L11" s="2088"/>
      <c r="M11" s="2088"/>
      <c r="P11" s="2040"/>
      <c r="Q11" s="2040"/>
      <c r="R11" s="2040"/>
      <c r="S11" s="2048"/>
      <c r="T11" s="2049"/>
      <c r="U11" s="1583"/>
      <c r="V11" s="1583"/>
      <c r="W11" s="1591"/>
      <c r="X11" s="1594"/>
      <c r="Y11" s="2040"/>
      <c r="Z11" s="2040"/>
      <c r="AA11" s="2040"/>
      <c r="AB11" s="2040"/>
      <c r="AC11" s="2041"/>
      <c r="AD11" s="2041"/>
      <c r="AE11" s="1031"/>
      <c r="AF11" s="1031"/>
      <c r="AG11" s="2067"/>
      <c r="AH11" s="2067"/>
      <c r="AI11" s="1583"/>
      <c r="AJ11" s="2067"/>
      <c r="AK11" s="2067"/>
      <c r="AL11" s="2067"/>
      <c r="AM11" s="2067"/>
      <c r="AN11" s="1031"/>
    </row>
    <row r="12" spans="1:40" ht="25.15" customHeight="1">
      <c r="B12" s="1342"/>
      <c r="C12" s="2062"/>
      <c r="D12" s="1583"/>
      <c r="E12" s="1583"/>
      <c r="F12" s="2852"/>
      <c r="G12" s="2073" t="s">
        <v>2182</v>
      </c>
      <c r="H12" s="2070" t="s">
        <v>2187</v>
      </c>
      <c r="I12" s="2070" t="s">
        <v>2190</v>
      </c>
      <c r="J12" s="2099"/>
      <c r="K12" s="2079"/>
      <c r="L12" s="2088"/>
      <c r="M12" s="2088"/>
      <c r="P12" s="2040"/>
      <c r="Q12" s="2040"/>
      <c r="R12" s="2040"/>
      <c r="S12" s="2050"/>
      <c r="T12" s="2051"/>
      <c r="U12" s="1583"/>
      <c r="V12" s="1583"/>
      <c r="W12" s="1591"/>
      <c r="X12" s="1594"/>
      <c r="Y12" s="2040"/>
      <c r="Z12" s="2040"/>
      <c r="AA12" s="2040"/>
      <c r="AB12" s="2040"/>
      <c r="AC12" s="2041"/>
      <c r="AD12" s="2041"/>
      <c r="AE12" s="1031"/>
      <c r="AF12" s="1031"/>
      <c r="AG12" s="1031"/>
      <c r="AH12" s="1031"/>
      <c r="AI12" s="1031"/>
      <c r="AJ12" s="1031"/>
      <c r="AK12" s="1031"/>
      <c r="AL12" s="1031"/>
      <c r="AM12" s="1031"/>
      <c r="AN12" s="1031"/>
    </row>
    <row r="13" spans="1:40" ht="25.15" customHeight="1">
      <c r="B13" s="1342"/>
      <c r="C13" s="2062"/>
      <c r="D13" s="1583"/>
      <c r="E13" s="1583"/>
      <c r="F13" s="2846" t="s">
        <v>2183</v>
      </c>
      <c r="G13" s="2847"/>
      <c r="H13" s="2070" t="s">
        <v>2187</v>
      </c>
      <c r="I13" s="2070" t="s">
        <v>2191</v>
      </c>
      <c r="J13" s="2099"/>
      <c r="K13" s="2079"/>
      <c r="L13" s="2088"/>
      <c r="M13" s="2088"/>
      <c r="P13" s="2040"/>
      <c r="Q13" s="2040"/>
      <c r="R13" s="2040"/>
      <c r="S13" s="2050"/>
      <c r="T13" s="2051"/>
      <c r="U13" s="1583"/>
      <c r="V13" s="1583"/>
      <c r="W13" s="1591"/>
      <c r="X13" s="1594"/>
      <c r="Y13" s="2040"/>
      <c r="Z13" s="2040"/>
      <c r="AA13" s="2040"/>
      <c r="AB13" s="2040"/>
      <c r="AC13" s="2040"/>
      <c r="AD13" s="2040"/>
      <c r="AE13" s="1031"/>
      <c r="AF13" s="1031"/>
      <c r="AG13" s="1031"/>
      <c r="AH13" s="1031"/>
      <c r="AI13" s="1031"/>
      <c r="AJ13" s="1031"/>
      <c r="AK13" s="1031"/>
      <c r="AL13" s="1031"/>
      <c r="AM13" s="1031"/>
      <c r="AN13" s="1031"/>
    </row>
    <row r="14" spans="1:40" ht="25.15" customHeight="1">
      <c r="B14" s="1342"/>
      <c r="C14" s="2062"/>
      <c r="D14" s="1583"/>
      <c r="E14" s="1583"/>
      <c r="F14" s="2848" t="s">
        <v>2188</v>
      </c>
      <c r="G14" s="2849"/>
      <c r="H14" s="2850"/>
      <c r="I14" s="2069">
        <f>COUNTA(I11:I13)</f>
        <v>3</v>
      </c>
      <c r="J14" s="2092"/>
      <c r="K14" s="2079"/>
      <c r="L14" s="2088"/>
      <c r="M14" s="2088"/>
      <c r="P14" s="2040"/>
      <c r="Q14" s="2040"/>
      <c r="R14" s="2040"/>
      <c r="S14" s="2052" t="s">
        <v>274</v>
      </c>
      <c r="T14" s="2051">
        <v>2</v>
      </c>
      <c r="U14" s="1583"/>
      <c r="V14" s="1583"/>
      <c r="W14" s="1591"/>
      <c r="X14" s="1594"/>
      <c r="Y14" s="2040"/>
      <c r="Z14" s="2040"/>
      <c r="AA14" s="2040"/>
      <c r="AB14" s="2040"/>
      <c r="AC14" s="2040"/>
      <c r="AD14" s="2040"/>
      <c r="AE14" s="1031"/>
      <c r="AF14" s="1031"/>
      <c r="AG14" s="1031"/>
      <c r="AH14" s="1031"/>
      <c r="AI14" s="1031"/>
      <c r="AJ14" s="1031"/>
      <c r="AK14" s="1031"/>
      <c r="AL14" s="1031"/>
      <c r="AM14" s="1031"/>
      <c r="AN14" s="1031"/>
    </row>
    <row r="15" spans="1:40" ht="19.899999999999999" customHeight="1">
      <c r="B15" s="1342"/>
      <c r="C15" s="2062"/>
      <c r="D15" s="1583"/>
      <c r="E15" s="1583"/>
      <c r="F15" s="1583"/>
      <c r="G15" s="2083"/>
      <c r="H15" s="2084"/>
      <c r="I15" s="2084"/>
      <c r="J15" s="2085"/>
      <c r="L15" s="1279"/>
      <c r="M15" s="1279"/>
      <c r="P15" s="2040"/>
      <c r="Q15" s="2040"/>
      <c r="R15" s="2040"/>
      <c r="S15" s="2052" t="s">
        <v>275</v>
      </c>
      <c r="T15" s="2051">
        <v>2</v>
      </c>
      <c r="U15" s="1583"/>
      <c r="V15" s="1583"/>
      <c r="W15" s="1591"/>
      <c r="X15" s="1594"/>
      <c r="Y15" s="2040"/>
      <c r="Z15" s="2040"/>
      <c r="AA15" s="2040"/>
      <c r="AB15" s="2040"/>
      <c r="AC15" s="2040"/>
      <c r="AD15" s="2040"/>
      <c r="AE15" s="1031"/>
      <c r="AF15" s="1031"/>
      <c r="AG15" s="1031"/>
      <c r="AH15" s="1031"/>
      <c r="AI15" s="1031"/>
      <c r="AJ15" s="1031"/>
      <c r="AK15" s="1031"/>
      <c r="AL15" s="1031"/>
      <c r="AM15" s="1031"/>
      <c r="AN15" s="1031"/>
    </row>
    <row r="16" spans="1:40" ht="19.899999999999999" customHeight="1">
      <c r="B16" s="1342"/>
      <c r="C16" s="2062"/>
      <c r="D16" s="2064"/>
      <c r="E16" s="2064"/>
      <c r="F16" s="1583"/>
      <c r="P16" s="2040"/>
      <c r="Q16" s="2040"/>
      <c r="R16" s="2040"/>
      <c r="S16" s="2053" t="s">
        <v>276</v>
      </c>
      <c r="T16" s="2054">
        <f>SUM(T11:T15)</f>
        <v>4</v>
      </c>
      <c r="U16" s="1583"/>
      <c r="V16" s="1583"/>
      <c r="W16" s="1591"/>
      <c r="X16" s="1594"/>
      <c r="Y16" s="2040"/>
      <c r="Z16" s="2040"/>
      <c r="AA16" s="2040"/>
      <c r="AB16" s="2040"/>
      <c r="AC16" s="2040"/>
      <c r="AD16" s="2040"/>
      <c r="AE16" s="1031"/>
      <c r="AF16" s="1031"/>
      <c r="AG16" s="1031"/>
      <c r="AH16" s="1031"/>
      <c r="AI16" s="1031"/>
      <c r="AJ16" s="1031"/>
      <c r="AK16" s="1031"/>
      <c r="AL16" s="1031"/>
      <c r="AM16" s="1031"/>
      <c r="AN16" s="1031"/>
    </row>
    <row r="17" spans="1:51" ht="19.899999999999999" customHeight="1">
      <c r="B17" s="1342"/>
      <c r="C17" s="2834" t="s">
        <v>2179</v>
      </c>
      <c r="D17" s="2835"/>
      <c r="E17" s="2836"/>
      <c r="F17" s="2843">
        <f>H27+I24</f>
        <v>37</v>
      </c>
      <c r="G17" s="2075"/>
      <c r="H17" s="2075"/>
      <c r="I17" s="2075"/>
      <c r="J17" s="2075"/>
      <c r="K17" s="2075"/>
      <c r="L17" s="2075"/>
      <c r="M17" s="2076"/>
      <c r="P17" s="2040"/>
      <c r="Q17" s="2040"/>
      <c r="R17" s="2040"/>
      <c r="S17" s="1583"/>
      <c r="T17" s="2055"/>
      <c r="U17" s="2043"/>
      <c r="V17" s="2043"/>
      <c r="W17" s="2043"/>
      <c r="X17" s="1583"/>
      <c r="Y17" s="2040"/>
      <c r="Z17" s="2040"/>
      <c r="AA17" s="2040"/>
      <c r="AB17" s="2040"/>
      <c r="AC17" s="2041"/>
      <c r="AD17" s="2041"/>
      <c r="AE17" s="1031"/>
      <c r="AF17" s="1031"/>
      <c r="AG17" s="1031"/>
      <c r="AH17" s="1031"/>
      <c r="AI17" s="1031"/>
      <c r="AJ17" s="1031"/>
      <c r="AK17" s="1031"/>
      <c r="AL17" s="1031"/>
      <c r="AM17" s="1031"/>
      <c r="AN17" s="1031"/>
    </row>
    <row r="18" spans="1:51" ht="19.899999999999999" customHeight="1">
      <c r="B18" s="1342"/>
      <c r="C18" s="2837"/>
      <c r="D18" s="2838"/>
      <c r="E18" s="2839"/>
      <c r="F18" s="2844"/>
      <c r="G18" s="1031"/>
      <c r="H18" s="1031"/>
      <c r="I18" s="1031"/>
      <c r="J18" s="1031"/>
      <c r="K18" s="1031"/>
      <c r="L18" s="1031"/>
      <c r="M18" s="2077"/>
      <c r="P18" s="2040"/>
      <c r="Q18" s="2040"/>
      <c r="R18" s="2040"/>
      <c r="S18" s="2046"/>
      <c r="T18" s="1583"/>
      <c r="U18" s="1583"/>
      <c r="V18" s="1583"/>
      <c r="W18" s="1587"/>
      <c r="X18" s="2056"/>
      <c r="Y18" s="2040"/>
      <c r="Z18" s="2040"/>
      <c r="AA18" s="2040"/>
      <c r="AB18" s="2040"/>
      <c r="AC18" s="2041"/>
      <c r="AD18" s="2041"/>
      <c r="AE18" s="1031"/>
      <c r="AF18" s="1031"/>
      <c r="AG18" s="1031"/>
      <c r="AH18" s="1031"/>
      <c r="AI18" s="1031"/>
      <c r="AJ18" s="1031"/>
      <c r="AK18" s="1031"/>
      <c r="AL18" s="1031"/>
      <c r="AM18" s="1031"/>
      <c r="AN18" s="1031"/>
    </row>
    <row r="19" spans="1:51" ht="19.899999999999999" customHeight="1">
      <c r="B19" s="1342"/>
      <c r="C19" s="2840"/>
      <c r="D19" s="2841"/>
      <c r="E19" s="2842"/>
      <c r="F19" s="2845"/>
      <c r="G19" s="2078"/>
      <c r="H19" s="2078"/>
      <c r="I19" s="2078"/>
      <c r="J19" s="2078"/>
      <c r="K19" s="2078"/>
      <c r="L19" s="2078"/>
      <c r="M19" s="2065"/>
      <c r="P19" s="2856" t="s">
        <v>277</v>
      </c>
      <c r="Q19" s="2856"/>
      <c r="R19" s="1423"/>
      <c r="S19" s="2856" t="s">
        <v>278</v>
      </c>
      <c r="T19" s="2856"/>
      <c r="U19" s="2047"/>
      <c r="V19" s="2047"/>
      <c r="W19" s="2856" t="s">
        <v>279</v>
      </c>
      <c r="X19" s="2856"/>
      <c r="Y19" s="1423"/>
      <c r="Z19" s="2856" t="s">
        <v>280</v>
      </c>
      <c r="AA19" s="2856"/>
      <c r="AB19" s="1423"/>
      <c r="AC19" s="2856" t="s">
        <v>281</v>
      </c>
      <c r="AD19" s="2856"/>
      <c r="AE19" s="1031"/>
      <c r="AF19" s="1031"/>
      <c r="AG19" s="1031"/>
      <c r="AH19" s="1031"/>
      <c r="AI19" s="1031"/>
      <c r="AJ19" s="1031"/>
      <c r="AK19" s="1031"/>
      <c r="AL19" s="1031"/>
      <c r="AM19" s="1031"/>
      <c r="AN19" s="1031"/>
    </row>
    <row r="20" spans="1:51" ht="19.899999999999999" customHeight="1">
      <c r="B20" s="1342"/>
      <c r="C20" s="1584"/>
      <c r="D20" s="1584"/>
      <c r="E20" s="1584"/>
      <c r="F20" s="1045"/>
      <c r="P20" s="2057" t="s">
        <v>282</v>
      </c>
      <c r="Q20" s="2049">
        <v>1</v>
      </c>
      <c r="R20" s="1423"/>
      <c r="S20" s="2057" t="s">
        <v>283</v>
      </c>
      <c r="T20" s="2049">
        <v>1</v>
      </c>
      <c r="U20" s="1583"/>
      <c r="V20" s="1583"/>
      <c r="W20" s="2050" t="s">
        <v>284</v>
      </c>
      <c r="X20" s="2051">
        <v>1</v>
      </c>
      <c r="Y20" s="1423"/>
      <c r="Z20" s="2057" t="s">
        <v>283</v>
      </c>
      <c r="AA20" s="2049">
        <v>1</v>
      </c>
      <c r="AB20" s="1423"/>
      <c r="AC20" s="2057" t="s">
        <v>285</v>
      </c>
      <c r="AD20" s="2049">
        <v>1</v>
      </c>
      <c r="AE20" s="1031"/>
      <c r="AF20" s="1031"/>
      <c r="AG20" s="1031"/>
      <c r="AH20" s="1031"/>
      <c r="AI20" s="1031"/>
      <c r="AJ20" s="1031"/>
      <c r="AK20" s="1031"/>
      <c r="AL20" s="1031"/>
      <c r="AM20" s="1031"/>
      <c r="AN20" s="1031"/>
    </row>
    <row r="21" spans="1:51" ht="19.899999999999999" customHeight="1">
      <c r="B21" s="1342"/>
      <c r="C21" s="1584"/>
      <c r="D21" s="1584"/>
      <c r="E21" s="1584"/>
      <c r="F21" s="1045"/>
      <c r="P21" s="2052" t="s">
        <v>284</v>
      </c>
      <c r="Q21" s="2051">
        <v>1</v>
      </c>
      <c r="R21" s="1423"/>
      <c r="S21" s="2052" t="s">
        <v>286</v>
      </c>
      <c r="T21" s="2051">
        <v>27</v>
      </c>
      <c r="U21" s="1583"/>
      <c r="V21" s="1583"/>
      <c r="W21" s="2050" t="s">
        <v>286</v>
      </c>
      <c r="X21" s="2051">
        <v>23</v>
      </c>
      <c r="Y21" s="1423"/>
      <c r="Z21" s="2052" t="s">
        <v>286</v>
      </c>
      <c r="AA21" s="2051">
        <v>10</v>
      </c>
      <c r="AB21" s="1423"/>
      <c r="AC21" s="2052" t="s">
        <v>287</v>
      </c>
      <c r="AD21" s="2051">
        <v>24</v>
      </c>
      <c r="AE21" s="1031"/>
      <c r="AF21" s="1031"/>
      <c r="AG21" s="1031"/>
      <c r="AH21" s="1031"/>
      <c r="AI21" s="1031"/>
      <c r="AJ21" s="1031"/>
      <c r="AK21" s="1031"/>
      <c r="AL21" s="1031"/>
      <c r="AM21" s="1031"/>
      <c r="AN21" s="1031"/>
    </row>
    <row r="22" spans="1:51" s="1590" customFormat="1" ht="25.15" customHeight="1">
      <c r="A22" s="1045"/>
      <c r="B22" s="1045"/>
      <c r="C22" s="2004"/>
      <c r="D22" s="2004"/>
      <c r="E22" s="2004"/>
      <c r="F22" s="2848" t="s">
        <v>2193</v>
      </c>
      <c r="G22" s="2850"/>
      <c r="H22" s="2069" t="s">
        <v>2185</v>
      </c>
      <c r="I22" s="2069" t="s">
        <v>2184</v>
      </c>
      <c r="J22" s="2069" t="s">
        <v>2192</v>
      </c>
      <c r="L22" s="2087"/>
      <c r="M22" s="2087"/>
      <c r="P22" s="2052" t="s">
        <v>286</v>
      </c>
      <c r="Q22" s="2051">
        <v>9</v>
      </c>
      <c r="R22" s="1423"/>
      <c r="S22" s="2052"/>
      <c r="T22" s="2051"/>
      <c r="U22" s="1583"/>
      <c r="V22" s="1583"/>
      <c r="W22" s="2050"/>
      <c r="X22" s="2051"/>
      <c r="Y22" s="1423"/>
      <c r="Z22" s="2052"/>
      <c r="AA22" s="2051"/>
      <c r="AB22" s="1423"/>
      <c r="AC22" s="2052"/>
      <c r="AD22" s="2051"/>
    </row>
    <row r="23" spans="1:51" s="1590" customFormat="1" ht="25.15" customHeight="1">
      <c r="A23" s="1045"/>
      <c r="B23" s="1045"/>
      <c r="C23" s="1589"/>
      <c r="D23" s="1589"/>
      <c r="E23" s="1589"/>
      <c r="F23" s="2853" t="s">
        <v>2231</v>
      </c>
      <c r="G23" s="2854"/>
      <c r="H23" s="2070" t="s">
        <v>2194</v>
      </c>
      <c r="I23" s="2071" t="s">
        <v>2196</v>
      </c>
      <c r="J23" s="2091"/>
      <c r="L23" s="2088"/>
      <c r="M23" s="2088"/>
      <c r="P23" s="2050"/>
      <c r="Q23" s="2051"/>
      <c r="R23" s="1423"/>
      <c r="S23" s="2052"/>
      <c r="T23" s="2051"/>
      <c r="U23" s="1583"/>
      <c r="V23" s="1583"/>
      <c r="W23" s="2050"/>
      <c r="X23" s="2051"/>
      <c r="Y23" s="1423"/>
      <c r="Z23" s="2050"/>
      <c r="AA23" s="2051"/>
      <c r="AB23" s="1423"/>
      <c r="AC23" s="2050"/>
      <c r="AD23" s="2051"/>
    </row>
    <row r="24" spans="1:51" s="1590" customFormat="1" ht="25.15" customHeight="1">
      <c r="A24" s="1045"/>
      <c r="B24" s="1045"/>
      <c r="C24" s="2004"/>
      <c r="D24" s="2004"/>
      <c r="E24" s="2004"/>
      <c r="F24" s="2848" t="s">
        <v>2188</v>
      </c>
      <c r="G24" s="2849"/>
      <c r="H24" s="2850"/>
      <c r="I24" s="2069">
        <f>COUNTA(I23)</f>
        <v>1</v>
      </c>
      <c r="J24" s="2092"/>
      <c r="L24" s="2088"/>
      <c r="M24" s="2088"/>
      <c r="P24" s="2050"/>
      <c r="Q24" s="2051"/>
      <c r="R24" s="1423"/>
      <c r="S24" s="2052"/>
      <c r="T24" s="2051"/>
      <c r="U24" s="1583"/>
      <c r="V24" s="1583"/>
      <c r="W24" s="2050"/>
      <c r="X24" s="2051"/>
      <c r="Y24" s="1423"/>
      <c r="Z24" s="2050"/>
      <c r="AA24" s="2051"/>
      <c r="AB24" s="1423"/>
      <c r="AC24" s="2050"/>
      <c r="AD24" s="2051"/>
      <c r="AK24" s="1583"/>
      <c r="AL24" s="1583"/>
      <c r="AM24" s="1583"/>
      <c r="AN24" s="1583"/>
      <c r="AO24" s="1583"/>
      <c r="AP24" s="1583"/>
      <c r="AQ24" s="1583"/>
      <c r="AR24" s="1583"/>
      <c r="AS24" s="1583"/>
      <c r="AT24" s="1583"/>
      <c r="AU24" s="1583"/>
      <c r="AV24" s="1583"/>
      <c r="AW24" s="1583"/>
      <c r="AX24" s="1583"/>
      <c r="AY24" s="1583"/>
    </row>
    <row r="25" spans="1:51" s="1590" customFormat="1" ht="25.15" customHeight="1">
      <c r="A25" s="1045"/>
      <c r="B25" s="1045"/>
      <c r="C25" s="2004"/>
      <c r="D25" s="2004"/>
      <c r="E25" s="2004"/>
      <c r="F25" s="2004"/>
      <c r="H25" s="2093"/>
      <c r="I25" s="2093"/>
      <c r="J25" s="2093"/>
      <c r="K25" s="2088"/>
      <c r="L25" s="2088"/>
      <c r="M25" s="2088"/>
      <c r="P25" s="2053" t="s">
        <v>276</v>
      </c>
      <c r="Q25" s="2054">
        <f>SUM(Q20:Q24)</f>
        <v>11</v>
      </c>
      <c r="R25" s="1423"/>
      <c r="S25" s="2058" t="s">
        <v>276</v>
      </c>
      <c r="T25" s="2054">
        <f>SUM(T20:T24)</f>
        <v>28</v>
      </c>
      <c r="U25" s="1583"/>
      <c r="V25" s="1583"/>
      <c r="W25" s="2053" t="s">
        <v>276</v>
      </c>
      <c r="X25" s="2054">
        <f>SUM(X20:X24)</f>
        <v>24</v>
      </c>
      <c r="Y25" s="1423"/>
      <c r="Z25" s="2053" t="s">
        <v>276</v>
      </c>
      <c r="AA25" s="2054">
        <f>SUM(AA20:AA24)</f>
        <v>11</v>
      </c>
      <c r="AB25" s="1423"/>
      <c r="AC25" s="2053" t="s">
        <v>276</v>
      </c>
      <c r="AD25" s="2054">
        <f>SUM(AD20:AD24)</f>
        <v>25</v>
      </c>
      <c r="AK25" s="1583"/>
      <c r="AL25" s="1583"/>
      <c r="AM25" s="1583"/>
      <c r="AN25" s="1583"/>
      <c r="AO25" s="2061"/>
      <c r="AP25" s="2061"/>
      <c r="AQ25" s="2061"/>
      <c r="AR25" s="2061"/>
      <c r="AS25" s="1583"/>
      <c r="AT25" s="1583"/>
      <c r="AU25" s="1583"/>
      <c r="AV25" s="1583"/>
      <c r="AW25" s="1583"/>
      <c r="AX25" s="1583"/>
      <c r="AY25" s="1583"/>
    </row>
    <row r="26" spans="1:51" s="1590" customFormat="1" ht="25.15" customHeight="1">
      <c r="A26" s="2004"/>
      <c r="B26" s="2004"/>
      <c r="C26" s="2004"/>
      <c r="D26" s="2004"/>
      <c r="E26" s="2004"/>
      <c r="F26" s="2004"/>
      <c r="G26" s="2090" t="s">
        <v>2193</v>
      </c>
      <c r="H26" s="2069" t="s">
        <v>2198</v>
      </c>
      <c r="I26" s="2069" t="s">
        <v>2192</v>
      </c>
      <c r="J26" s="2103"/>
      <c r="K26" s="2088"/>
      <c r="L26" s="2088"/>
      <c r="M26" s="2088"/>
      <c r="P26" s="1583"/>
      <c r="Q26" s="1583"/>
      <c r="R26" s="1583"/>
      <c r="S26" s="1583"/>
      <c r="T26" s="1583"/>
      <c r="U26" s="1583"/>
      <c r="V26" s="1583"/>
      <c r="W26" s="1583"/>
      <c r="X26" s="1583"/>
      <c r="Y26" s="1583"/>
      <c r="Z26" s="1596"/>
      <c r="AA26" s="1597"/>
      <c r="AB26" s="2040"/>
      <c r="AC26" s="2040"/>
      <c r="AD26" s="2040"/>
      <c r="AK26" s="1583"/>
      <c r="AL26" s="1583"/>
      <c r="AM26" s="1583"/>
      <c r="AN26" s="1583"/>
      <c r="AO26" s="2061"/>
      <c r="AP26" s="2061"/>
      <c r="AQ26" s="2061"/>
      <c r="AR26" s="2061"/>
      <c r="AS26" s="1583"/>
      <c r="AT26" s="1583"/>
      <c r="AU26" s="1583"/>
      <c r="AV26" s="1583"/>
      <c r="AW26" s="1583"/>
      <c r="AX26" s="1583"/>
      <c r="AY26" s="1583"/>
    </row>
    <row r="27" spans="1:51" s="1590" customFormat="1" ht="25.15" customHeight="1">
      <c r="A27" s="2004"/>
      <c r="B27" s="2004"/>
      <c r="C27" s="2004"/>
      <c r="D27" s="2004"/>
      <c r="E27" s="2100"/>
      <c r="F27" s="2348"/>
      <c r="G27" s="2347" t="s">
        <v>2209</v>
      </c>
      <c r="H27" s="2095">
        <f>D36+H36+L36</f>
        <v>36</v>
      </c>
      <c r="I27" s="2346"/>
      <c r="J27" s="2094"/>
      <c r="K27" s="2349"/>
      <c r="L27" s="2089"/>
      <c r="M27" s="2089"/>
      <c r="P27" s="1583"/>
      <c r="Q27" s="1583"/>
      <c r="R27" s="1583"/>
      <c r="S27" s="1583"/>
      <c r="T27" s="1583"/>
      <c r="U27" s="1583"/>
      <c r="V27" s="1583"/>
      <c r="W27" s="1583"/>
      <c r="X27" s="1583"/>
      <c r="Y27" s="1583"/>
      <c r="Z27" s="2059" t="s">
        <v>163</v>
      </c>
      <c r="AA27" s="2060">
        <f>Q25+T25+X25+AA25+AD25+T16</f>
        <v>103</v>
      </c>
      <c r="AB27" s="2040"/>
      <c r="AC27" s="2040"/>
      <c r="AD27" s="2040"/>
      <c r="AK27" s="1583"/>
      <c r="AL27" s="1583"/>
      <c r="AM27" s="1583"/>
      <c r="AN27" s="1583"/>
      <c r="AO27" s="2061"/>
      <c r="AP27" s="2061"/>
      <c r="AQ27" s="2061"/>
      <c r="AR27" s="2061"/>
      <c r="AS27" s="1583"/>
      <c r="AT27" s="1583"/>
      <c r="AU27" s="1583"/>
      <c r="AV27" s="1583"/>
      <c r="AW27" s="1583"/>
      <c r="AX27" s="1583"/>
      <c r="AY27" s="1583"/>
    </row>
    <row r="28" spans="1:51" s="1590" customFormat="1" ht="25.15" customHeight="1">
      <c r="A28" s="1045"/>
      <c r="B28" s="1045"/>
      <c r="C28" s="2004"/>
      <c r="D28" s="2004"/>
      <c r="E28" s="2344"/>
      <c r="F28" s="2040"/>
      <c r="G28" s="2093"/>
      <c r="H28" s="2093"/>
      <c r="I28" s="2093"/>
      <c r="K28" s="2345"/>
      <c r="L28" s="2088"/>
      <c r="M28" s="2088"/>
      <c r="V28" s="1031"/>
      <c r="W28" s="2105"/>
      <c r="X28" s="2106"/>
      <c r="Y28" s="2086"/>
      <c r="Z28" s="2086"/>
      <c r="AK28" s="1583"/>
      <c r="AL28" s="1583"/>
      <c r="AM28" s="1583"/>
      <c r="AN28" s="1583"/>
      <c r="AO28" s="2061"/>
      <c r="AP28" s="2061"/>
      <c r="AQ28" s="2061"/>
      <c r="AR28" s="2061"/>
      <c r="AS28" s="1583"/>
      <c r="AT28" s="1583"/>
      <c r="AU28" s="1583"/>
      <c r="AV28" s="1583"/>
      <c r="AW28" s="1583"/>
      <c r="AX28" s="1583"/>
      <c r="AY28" s="1583"/>
    </row>
    <row r="29" spans="1:51" s="1590" customFormat="1" ht="25.15" customHeight="1">
      <c r="A29" s="1045"/>
      <c r="B29" s="1045"/>
      <c r="C29" s="2096" t="s">
        <v>2197</v>
      </c>
      <c r="D29" s="2074"/>
      <c r="E29" s="2074"/>
      <c r="G29" s="2096" t="s">
        <v>2203</v>
      </c>
      <c r="H29" s="2074"/>
      <c r="I29" s="2074"/>
      <c r="K29" s="2869" t="s">
        <v>2247</v>
      </c>
      <c r="L29" s="2870"/>
      <c r="M29" s="2871"/>
      <c r="V29" s="1031"/>
      <c r="W29" s="2106"/>
      <c r="X29" s="2106"/>
      <c r="Y29" s="2086"/>
      <c r="Z29" s="2086"/>
      <c r="AK29" s="1583"/>
      <c r="AL29" s="1583"/>
      <c r="AM29" s="1583"/>
      <c r="AN29" s="1583"/>
      <c r="AO29" s="2061"/>
      <c r="AP29" s="2061"/>
      <c r="AQ29" s="2061"/>
      <c r="AR29" s="2061"/>
      <c r="AS29" s="1583"/>
      <c r="AT29" s="1583"/>
      <c r="AU29" s="1583"/>
      <c r="AV29" s="1583"/>
      <c r="AW29" s="1583"/>
      <c r="AX29" s="1583"/>
      <c r="AY29" s="1583"/>
    </row>
    <row r="30" spans="1:51" s="1590" customFormat="1" ht="25.15" customHeight="1">
      <c r="A30" s="1045"/>
      <c r="B30" s="1045"/>
      <c r="C30" s="2101" t="s">
        <v>2193</v>
      </c>
      <c r="D30" s="2102" t="s">
        <v>2198</v>
      </c>
      <c r="E30" s="2102" t="s">
        <v>2192</v>
      </c>
      <c r="G30" s="2101" t="s">
        <v>2193</v>
      </c>
      <c r="H30" s="2102" t="s">
        <v>2198</v>
      </c>
      <c r="I30" s="2102" t="s">
        <v>2192</v>
      </c>
      <c r="K30" s="2101" t="s">
        <v>2193</v>
      </c>
      <c r="L30" s="2102" t="s">
        <v>2198</v>
      </c>
      <c r="M30" s="2102" t="s">
        <v>2192</v>
      </c>
      <c r="V30" s="1031"/>
      <c r="W30" s="2106"/>
      <c r="X30" s="2106"/>
      <c r="Y30" s="2086"/>
      <c r="Z30" s="2086"/>
      <c r="AK30" s="1583"/>
      <c r="AL30" s="1583"/>
      <c r="AM30" s="1583"/>
      <c r="AN30" s="1583"/>
      <c r="AO30" s="2061"/>
      <c r="AP30" s="2061"/>
      <c r="AQ30" s="2061"/>
      <c r="AR30" s="2061"/>
      <c r="AS30" s="1583"/>
      <c r="AT30" s="1583"/>
      <c r="AU30" s="1583"/>
      <c r="AV30" s="1583"/>
      <c r="AW30" s="1583"/>
      <c r="AX30" s="1583"/>
      <c r="AY30" s="1583"/>
    </row>
    <row r="31" spans="1:51" s="1590" customFormat="1" ht="25.15" customHeight="1">
      <c r="A31" s="1045"/>
      <c r="B31" s="1045"/>
      <c r="C31" s="2097" t="s">
        <v>2199</v>
      </c>
      <c r="D31" s="2095">
        <v>2</v>
      </c>
      <c r="E31" s="2095"/>
      <c r="G31" s="2097" t="s">
        <v>2204</v>
      </c>
      <c r="H31" s="2095">
        <v>1</v>
      </c>
      <c r="I31" s="2095"/>
      <c r="K31" s="2097" t="s">
        <v>2195</v>
      </c>
      <c r="L31" s="2095">
        <v>1</v>
      </c>
      <c r="M31" s="2095"/>
      <c r="V31" s="1031"/>
      <c r="W31" s="2080"/>
      <c r="X31" s="2107"/>
      <c r="Y31" s="2107"/>
      <c r="Z31" s="2080"/>
      <c r="AK31" s="1583"/>
      <c r="AL31" s="1583"/>
      <c r="AM31" s="1583"/>
      <c r="AN31" s="1583"/>
      <c r="AO31" s="2061"/>
      <c r="AP31" s="2061"/>
      <c r="AQ31" s="2061"/>
      <c r="AR31" s="2061"/>
      <c r="AS31" s="1583"/>
      <c r="AT31" s="1583"/>
      <c r="AU31" s="1583"/>
      <c r="AV31" s="1583"/>
      <c r="AW31" s="1583"/>
      <c r="AX31" s="1583"/>
      <c r="AY31" s="1583"/>
    </row>
    <row r="32" spans="1:51" s="1590" customFormat="1" ht="25.15" customHeight="1">
      <c r="A32" s="1045"/>
      <c r="B32" s="1045"/>
      <c r="C32" s="2097" t="s">
        <v>2200</v>
      </c>
      <c r="D32" s="2095">
        <v>2</v>
      </c>
      <c r="E32" s="2831" t="s">
        <v>2211</v>
      </c>
      <c r="G32" s="2097" t="s">
        <v>2207</v>
      </c>
      <c r="H32" s="2095">
        <v>5</v>
      </c>
      <c r="I32" s="2095"/>
      <c r="K32" s="2097"/>
      <c r="L32" s="2095"/>
      <c r="M32" s="2095"/>
      <c r="T32" s="1590" t="s">
        <v>2230</v>
      </c>
      <c r="U32" s="1590" t="s">
        <v>2229</v>
      </c>
      <c r="V32" s="1031"/>
      <c r="W32" s="1423"/>
      <c r="AK32" s="1583"/>
      <c r="AL32" s="1583"/>
      <c r="AM32" s="1583"/>
      <c r="AN32" s="1583"/>
      <c r="AO32" s="1583"/>
      <c r="AP32" s="1583"/>
      <c r="AQ32" s="1583"/>
      <c r="AR32" s="1583"/>
      <c r="AS32" s="1583"/>
      <c r="AT32" s="1583"/>
      <c r="AU32" s="1583"/>
      <c r="AV32" s="1583"/>
      <c r="AW32" s="1583"/>
      <c r="AX32" s="1583"/>
      <c r="AY32" s="1583"/>
    </row>
    <row r="33" spans="1:51" s="1590" customFormat="1" ht="25.15" customHeight="1">
      <c r="A33" s="2040"/>
      <c r="B33" s="2040"/>
      <c r="C33" s="2071" t="s">
        <v>2201</v>
      </c>
      <c r="D33" s="2070">
        <v>2</v>
      </c>
      <c r="E33" s="2832"/>
      <c r="G33" s="2097" t="s">
        <v>2205</v>
      </c>
      <c r="H33" s="2095">
        <v>14</v>
      </c>
      <c r="I33" s="2095"/>
      <c r="K33" s="2097"/>
      <c r="L33" s="2095"/>
      <c r="M33" s="2095"/>
      <c r="V33" s="1031"/>
      <c r="W33" s="1423"/>
      <c r="AK33" s="1031"/>
      <c r="AL33" s="1031"/>
      <c r="AM33" s="1031"/>
      <c r="AN33" s="1031"/>
      <c r="AO33" s="1031"/>
      <c r="AP33" s="1031"/>
      <c r="AQ33" s="1031"/>
      <c r="AR33" s="1031"/>
      <c r="AS33" s="1031"/>
      <c r="AT33" s="1031"/>
      <c r="AU33" s="1031"/>
      <c r="AV33" s="1031"/>
      <c r="AW33" s="1031"/>
      <c r="AX33" s="1583"/>
      <c r="AY33" s="1583"/>
    </row>
    <row r="34" spans="1:51" ht="25.15" customHeight="1">
      <c r="A34" s="1031"/>
      <c r="B34" s="2042"/>
      <c r="C34" s="2071"/>
      <c r="D34" s="2070"/>
      <c r="E34" s="2833"/>
      <c r="G34" s="2097" t="s">
        <v>2208</v>
      </c>
      <c r="H34" s="2095">
        <v>6</v>
      </c>
      <c r="I34" s="2070"/>
      <c r="K34" s="2097"/>
      <c r="L34" s="2095"/>
      <c r="M34" s="2070"/>
      <c r="V34" s="1031"/>
      <c r="W34" s="1584"/>
      <c r="AJ34" s="1031"/>
      <c r="AK34" s="1031"/>
      <c r="AL34" s="1031"/>
      <c r="AM34" s="1031"/>
      <c r="AN34" s="1031"/>
      <c r="AO34" s="1031"/>
      <c r="AP34" s="1031"/>
      <c r="AQ34" s="1031"/>
      <c r="AR34" s="1031"/>
      <c r="AS34" s="1031"/>
      <c r="AT34" s="1031"/>
      <c r="AU34" s="1031"/>
      <c r="AV34" s="1031"/>
      <c r="AW34" s="1031"/>
      <c r="AX34" s="1583"/>
      <c r="AY34" s="1583"/>
    </row>
    <row r="35" spans="1:51" ht="25.15" customHeight="1">
      <c r="A35" s="1031"/>
      <c r="B35" s="2042"/>
      <c r="C35" s="2097"/>
      <c r="D35" s="2070"/>
      <c r="E35" s="2066"/>
      <c r="G35" s="2071" t="s">
        <v>2206</v>
      </c>
      <c r="H35" s="2070">
        <v>3</v>
      </c>
      <c r="I35" s="2066"/>
      <c r="K35" s="2071"/>
      <c r="L35" s="2070"/>
      <c r="M35" s="2066"/>
      <c r="AJ35" s="1031"/>
      <c r="AK35" s="1031"/>
      <c r="AL35" s="1031"/>
      <c r="AM35" s="1031"/>
      <c r="AN35" s="1031"/>
      <c r="AO35" s="1031"/>
      <c r="AP35" s="1031"/>
      <c r="AQ35" s="1031"/>
      <c r="AR35" s="1031"/>
      <c r="AS35" s="1031"/>
      <c r="AT35" s="1031"/>
      <c r="AU35" s="1031"/>
      <c r="AV35" s="1031"/>
      <c r="AW35" s="1031"/>
      <c r="AX35" s="1583"/>
      <c r="AY35" s="1583"/>
    </row>
    <row r="36" spans="1:51" ht="25.15" customHeight="1">
      <c r="A36" s="1031"/>
      <c r="B36" s="2042"/>
      <c r="C36" s="454" t="s">
        <v>2202</v>
      </c>
      <c r="D36" s="2069">
        <f>SUM(D31:D35)</f>
        <v>6</v>
      </c>
      <c r="E36" s="2069"/>
      <c r="G36" s="454" t="s">
        <v>2202</v>
      </c>
      <c r="H36" s="2069">
        <f>SUM(H31:H35)</f>
        <v>29</v>
      </c>
      <c r="I36" s="2069"/>
      <c r="K36" s="454" t="s">
        <v>2202</v>
      </c>
      <c r="L36" s="2069">
        <f>SUM(L31:L35)</f>
        <v>1</v>
      </c>
      <c r="M36" s="2069"/>
      <c r="AJ36" s="1031"/>
      <c r="AK36" s="1583"/>
      <c r="AL36" s="1583"/>
      <c r="AM36" s="1583"/>
      <c r="AN36" s="1583"/>
      <c r="AO36" s="1586"/>
      <c r="AP36" s="1586"/>
      <c r="AQ36" s="1586"/>
      <c r="AR36" s="1586"/>
      <c r="AS36" s="1583"/>
      <c r="AT36" s="1586"/>
      <c r="AU36" s="1586"/>
      <c r="AV36" s="1586"/>
      <c r="AW36" s="1586"/>
      <c r="AX36" s="1583"/>
      <c r="AY36" s="1583"/>
    </row>
    <row r="37" spans="1:51" ht="19.899999999999999" customHeight="1">
      <c r="A37" s="1031"/>
      <c r="B37" s="2042"/>
      <c r="C37" s="1583"/>
      <c r="D37" s="1583"/>
      <c r="E37" s="1583"/>
      <c r="F37" s="2044"/>
      <c r="AJ37" s="1031"/>
      <c r="AK37" s="1583"/>
      <c r="AL37" s="1583"/>
      <c r="AM37" s="1583"/>
      <c r="AN37" s="1583"/>
      <c r="AO37" s="1586"/>
      <c r="AP37" s="1586"/>
      <c r="AQ37" s="1586"/>
      <c r="AR37" s="1586"/>
      <c r="AS37" s="1583"/>
      <c r="AT37" s="1586"/>
      <c r="AU37" s="1586"/>
      <c r="AV37" s="1586"/>
      <c r="AW37" s="1586"/>
      <c r="AX37" s="1583"/>
      <c r="AY37" s="1583"/>
    </row>
    <row r="38" spans="1:51" ht="19.899999999999999" customHeight="1">
      <c r="A38" s="1031"/>
      <c r="B38" s="2042"/>
      <c r="C38" s="1583"/>
      <c r="D38" s="1583"/>
      <c r="E38" s="1583"/>
      <c r="F38" s="2040"/>
      <c r="AJ38" s="1031"/>
      <c r="AK38" s="1583"/>
      <c r="AL38" s="1583"/>
      <c r="AM38" s="1583"/>
      <c r="AN38" s="1583"/>
      <c r="AO38" s="1586"/>
      <c r="AP38" s="1586"/>
      <c r="AQ38" s="1586"/>
      <c r="AR38" s="1586"/>
      <c r="AS38" s="1583"/>
      <c r="AT38" s="1586"/>
      <c r="AU38" s="1586"/>
      <c r="AV38" s="1586"/>
      <c r="AW38" s="1586"/>
      <c r="AX38" s="1583"/>
      <c r="AY38" s="1583"/>
    </row>
    <row r="39" spans="1:51" ht="19.899999999999999" customHeight="1">
      <c r="A39" s="1031"/>
      <c r="B39" s="2042"/>
      <c r="C39" s="1583"/>
      <c r="D39" s="1583"/>
      <c r="E39" s="1583"/>
      <c r="F39" s="2040"/>
      <c r="AJ39" s="1031"/>
      <c r="AK39" s="1583"/>
      <c r="AL39" s="1583"/>
      <c r="AM39" s="1583"/>
      <c r="AN39" s="1583"/>
      <c r="AO39" s="1586"/>
      <c r="AP39" s="1586"/>
      <c r="AQ39" s="1586"/>
      <c r="AR39" s="1586"/>
      <c r="AS39" s="1583"/>
      <c r="AT39" s="1586"/>
      <c r="AU39" s="1586"/>
      <c r="AV39" s="1586"/>
      <c r="AW39" s="1586"/>
      <c r="AX39" s="1583"/>
      <c r="AY39" s="1583"/>
    </row>
    <row r="40" spans="1:51" s="1590" customFormat="1" ht="19.899999999999999" customHeight="1">
      <c r="B40" s="2042"/>
      <c r="C40" s="1583"/>
      <c r="D40" s="1583"/>
      <c r="E40" s="1583"/>
      <c r="F40" s="2040"/>
      <c r="AK40" s="1583"/>
      <c r="AL40" s="1583"/>
      <c r="AM40" s="1583"/>
      <c r="AN40" s="1583"/>
      <c r="AO40" s="1586"/>
      <c r="AP40" s="1586"/>
      <c r="AQ40" s="1586"/>
      <c r="AR40" s="1586"/>
      <c r="AS40" s="1583"/>
      <c r="AT40" s="1586"/>
      <c r="AU40" s="1586"/>
      <c r="AV40" s="1586"/>
      <c r="AW40" s="1586"/>
      <c r="AX40" s="1583"/>
      <c r="AY40" s="1583"/>
    </row>
    <row r="41" spans="1:51" s="1590" customFormat="1" ht="19.899999999999999" customHeight="1">
      <c r="B41" s="2042"/>
      <c r="C41" s="1583"/>
      <c r="D41" s="1583"/>
      <c r="E41" s="1583"/>
      <c r="F41" s="2040"/>
      <c r="AK41" s="1583"/>
      <c r="AL41" s="1583"/>
      <c r="AM41" s="1583"/>
      <c r="AN41" s="1583"/>
      <c r="AO41" s="1583"/>
      <c r="AP41" s="1583"/>
      <c r="AQ41" s="1583"/>
      <c r="AR41" s="1583"/>
      <c r="AS41" s="2040"/>
      <c r="AT41" s="2040"/>
      <c r="AU41" s="2040"/>
      <c r="AV41" s="2040"/>
      <c r="AW41" s="2040"/>
      <c r="AX41" s="2040"/>
      <c r="AY41" s="2040"/>
    </row>
    <row r="42" spans="1:51" s="1590" customFormat="1" ht="19.899999999999999" customHeight="1">
      <c r="B42" s="2042"/>
      <c r="C42" s="1583"/>
      <c r="D42" s="1583"/>
      <c r="E42" s="1583"/>
      <c r="F42" s="2040"/>
      <c r="AK42" s="2040"/>
      <c r="AL42" s="2040"/>
      <c r="AM42" s="2040"/>
      <c r="AN42" s="1591"/>
      <c r="AO42" s="2862"/>
      <c r="AP42" s="2862"/>
      <c r="AQ42" s="2862"/>
      <c r="AR42" s="2862"/>
      <c r="AS42" s="2040"/>
      <c r="AT42" s="2040"/>
      <c r="AU42" s="2040"/>
      <c r="AV42" s="2040"/>
      <c r="AW42" s="2040"/>
      <c r="AX42" s="2044"/>
      <c r="AY42" s="2044"/>
    </row>
    <row r="43" spans="1:51" s="1590" customFormat="1" ht="19.899999999999999" customHeight="1">
      <c r="B43" s="2042"/>
      <c r="C43" s="1583"/>
      <c r="D43" s="1583"/>
      <c r="E43" s="1583"/>
      <c r="F43" s="2040"/>
      <c r="AK43" s="2040"/>
      <c r="AL43" s="2040"/>
      <c r="AM43" s="2040"/>
      <c r="AN43" s="1591"/>
      <c r="AO43" s="2863"/>
      <c r="AP43" s="2863"/>
      <c r="AQ43" s="2863"/>
      <c r="AR43" s="2863"/>
      <c r="AS43" s="2040"/>
      <c r="AT43" s="2040"/>
      <c r="AU43" s="2040"/>
      <c r="AV43" s="2040"/>
      <c r="AW43" s="2040"/>
      <c r="AX43" s="2040"/>
      <c r="AY43" s="2040"/>
    </row>
    <row r="44" spans="1:51" s="1590" customFormat="1" ht="19.899999999999999" customHeight="1">
      <c r="B44" s="2042"/>
      <c r="C44" s="1583"/>
      <c r="D44" s="1583"/>
      <c r="E44" s="1583"/>
      <c r="F44" s="2040"/>
      <c r="AK44" s="2040"/>
      <c r="AL44" s="2040"/>
      <c r="AM44" s="2040"/>
      <c r="AN44" s="1591"/>
      <c r="AO44" s="2863"/>
      <c r="AP44" s="2863"/>
      <c r="AQ44" s="2863"/>
      <c r="AR44" s="2863"/>
      <c r="AS44" s="2040"/>
      <c r="AT44" s="2040"/>
      <c r="AU44" s="2040"/>
      <c r="AV44" s="2040"/>
      <c r="AW44" s="2040"/>
      <c r="AX44" s="2041"/>
      <c r="AY44" s="2041"/>
    </row>
    <row r="45" spans="1:51" s="1590" customFormat="1" ht="19.899999999999999" customHeight="1">
      <c r="B45" s="2042"/>
      <c r="C45" s="1583"/>
      <c r="D45" s="1583"/>
      <c r="E45" s="1583"/>
      <c r="F45" s="2040"/>
      <c r="AK45" s="2040"/>
      <c r="AL45" s="1583"/>
      <c r="AM45" s="1583"/>
      <c r="AN45" s="1583"/>
      <c r="AO45" s="1583"/>
      <c r="AP45" s="1583"/>
      <c r="AQ45" s="1583"/>
      <c r="AR45" s="1583"/>
      <c r="AS45" s="2040"/>
      <c r="AT45" s="2040"/>
      <c r="AU45" s="2040"/>
      <c r="AV45" s="2040"/>
      <c r="AW45" s="2040"/>
      <c r="AX45" s="2041"/>
      <c r="AY45" s="2041"/>
    </row>
    <row r="46" spans="1:51" s="1590" customFormat="1" ht="19.899999999999999" customHeight="1">
      <c r="B46" s="2042"/>
      <c r="C46" s="1583"/>
      <c r="D46" s="1583"/>
      <c r="E46" s="1583"/>
      <c r="F46" s="2040"/>
      <c r="AK46" s="2040"/>
      <c r="AL46" s="2862"/>
      <c r="AM46" s="2862"/>
      <c r="AN46" s="2862"/>
      <c r="AO46" s="2040"/>
      <c r="AP46" s="2040"/>
      <c r="AQ46" s="2040"/>
      <c r="AR46" s="2040"/>
      <c r="AS46" s="2862"/>
      <c r="AT46" s="2862"/>
      <c r="AU46" s="2862"/>
      <c r="AV46" s="2040"/>
      <c r="AW46" s="2040"/>
      <c r="AX46" s="2041"/>
      <c r="AY46" s="2041"/>
    </row>
    <row r="47" spans="1:51" s="1590" customFormat="1" ht="19.899999999999999" customHeight="1">
      <c r="B47" s="2042"/>
      <c r="C47" s="1583"/>
      <c r="D47" s="1583"/>
      <c r="E47" s="1583"/>
      <c r="F47" s="2040"/>
      <c r="AK47" s="2040"/>
      <c r="AL47" s="2861"/>
      <c r="AM47" s="2861"/>
      <c r="AN47" s="1263"/>
      <c r="AO47" s="2040"/>
      <c r="AP47" s="2040"/>
      <c r="AQ47" s="2040"/>
      <c r="AR47" s="2040"/>
      <c r="AS47" s="2861"/>
      <c r="AT47" s="2861"/>
      <c r="AU47" s="1263"/>
      <c r="AV47" s="2040"/>
      <c r="AW47" s="2040"/>
      <c r="AX47" s="2041"/>
      <c r="AY47" s="2041"/>
    </row>
    <row r="48" spans="1:51" s="1590" customFormat="1" ht="19.899999999999999" customHeight="1">
      <c r="B48" s="2042"/>
      <c r="C48" s="1583"/>
      <c r="D48" s="1583"/>
      <c r="E48" s="1583"/>
      <c r="F48" s="2040"/>
      <c r="AK48" s="2040"/>
      <c r="AL48" s="2861"/>
      <c r="AM48" s="2861"/>
      <c r="AN48" s="2108"/>
      <c r="AO48" s="2040"/>
      <c r="AP48" s="2040"/>
      <c r="AQ48" s="2040"/>
      <c r="AR48" s="2040"/>
      <c r="AS48" s="2861"/>
      <c r="AT48" s="2861"/>
      <c r="AU48" s="2108"/>
      <c r="AV48" s="2040"/>
      <c r="AW48" s="2040"/>
      <c r="AX48" s="2041"/>
      <c r="AY48" s="2041"/>
    </row>
    <row r="49" spans="1:51" s="1590" customFormat="1" ht="19.899999999999999" customHeight="1">
      <c r="B49" s="2042"/>
      <c r="C49" s="1583"/>
      <c r="D49" s="1583"/>
      <c r="E49" s="1583"/>
      <c r="F49" s="1595"/>
      <c r="AK49" s="2040"/>
      <c r="AL49" s="2861"/>
      <c r="AM49" s="2861"/>
      <c r="AN49" s="2108"/>
      <c r="AO49" s="2040"/>
      <c r="AP49" s="2040"/>
      <c r="AQ49" s="2040"/>
      <c r="AR49" s="2040"/>
      <c r="AS49" s="2861"/>
      <c r="AT49" s="2861"/>
      <c r="AU49" s="2108"/>
      <c r="AV49" s="2040"/>
      <c r="AW49" s="2040"/>
      <c r="AX49" s="2041"/>
      <c r="AY49" s="2041"/>
    </row>
    <row r="50" spans="1:51" s="1590" customFormat="1" ht="19.899999999999999" customHeight="1">
      <c r="B50" s="2042"/>
      <c r="C50" s="1583"/>
      <c r="D50" s="1583"/>
      <c r="E50" s="1583"/>
      <c r="F50" s="1595"/>
      <c r="AK50" s="2040"/>
      <c r="AL50" s="2861"/>
      <c r="AM50" s="2861"/>
      <c r="AN50" s="2108"/>
      <c r="AO50" s="2040"/>
      <c r="AP50" s="2040"/>
      <c r="AQ50" s="2040"/>
      <c r="AR50" s="2040"/>
      <c r="AS50" s="2861"/>
      <c r="AT50" s="2861"/>
      <c r="AU50" s="2108"/>
      <c r="AV50" s="2040"/>
      <c r="AW50" s="2040"/>
      <c r="AX50" s="2041"/>
      <c r="AY50" s="2041"/>
    </row>
    <row r="51" spans="1:51" s="1590" customFormat="1" ht="19.899999999999999" customHeight="1">
      <c r="B51" s="2042"/>
      <c r="C51" s="1583"/>
      <c r="D51" s="1583"/>
      <c r="E51" s="1583"/>
      <c r="F51" s="1595"/>
      <c r="AK51" s="2040"/>
      <c r="AL51" s="2861"/>
      <c r="AM51" s="2861"/>
      <c r="AN51" s="2109"/>
      <c r="AO51" s="2040"/>
      <c r="AP51" s="2040"/>
      <c r="AQ51" s="2040"/>
      <c r="AR51" s="2040"/>
      <c r="AS51" s="2861"/>
      <c r="AT51" s="2861"/>
      <c r="AU51" s="2109"/>
      <c r="AV51" s="2040"/>
      <c r="AW51" s="2040"/>
      <c r="AX51" s="2041"/>
      <c r="AY51" s="2041"/>
    </row>
    <row r="52" spans="1:51" s="1590" customFormat="1" ht="19.899999999999999" customHeight="1">
      <c r="B52" s="2042"/>
      <c r="C52" s="1583"/>
      <c r="D52" s="1583"/>
      <c r="E52" s="1583"/>
      <c r="F52" s="1595"/>
      <c r="AK52" s="2040"/>
      <c r="AL52" s="2110"/>
      <c r="AM52" s="2111"/>
      <c r="AN52" s="2109"/>
      <c r="AO52" s="2040"/>
      <c r="AP52" s="2040"/>
      <c r="AQ52" s="2040"/>
      <c r="AR52" s="2040"/>
      <c r="AS52" s="2110"/>
      <c r="AT52" s="2111"/>
      <c r="AU52" s="2109"/>
      <c r="AV52" s="2040"/>
      <c r="AW52" s="2040"/>
      <c r="AX52" s="2041"/>
      <c r="AY52" s="2041"/>
    </row>
    <row r="53" spans="1:51" s="1590" customFormat="1" ht="19.899999999999999" customHeight="1">
      <c r="B53" s="2042"/>
      <c r="C53" s="1583"/>
      <c r="D53" s="1583"/>
      <c r="E53" s="1583"/>
      <c r="F53" s="1595"/>
      <c r="AK53" s="2040"/>
      <c r="AL53" s="2040"/>
      <c r="AM53" s="2040"/>
      <c r="AN53" s="2040"/>
      <c r="AO53" s="2040"/>
      <c r="AP53" s="2040"/>
      <c r="AQ53" s="2040"/>
      <c r="AR53" s="2040"/>
      <c r="AS53" s="2040"/>
      <c r="AT53" s="2040"/>
      <c r="AU53" s="2040"/>
      <c r="AV53" s="2040"/>
      <c r="AW53" s="2040"/>
      <c r="AX53" s="2041"/>
      <c r="AY53" s="2041"/>
    </row>
    <row r="54" spans="1:51" s="1590" customFormat="1" ht="19.899999999999999" customHeight="1">
      <c r="B54" s="2042"/>
      <c r="C54" s="1583"/>
      <c r="D54" s="1583"/>
      <c r="E54" s="1583"/>
      <c r="F54" s="1595"/>
      <c r="AK54" s="2040"/>
      <c r="AL54" s="2040"/>
      <c r="AM54" s="2040"/>
      <c r="AN54" s="2040"/>
      <c r="AO54" s="2040"/>
      <c r="AP54" s="2040"/>
      <c r="AQ54" s="2040"/>
      <c r="AR54" s="2040"/>
      <c r="AS54" s="2040"/>
      <c r="AT54" s="2040"/>
      <c r="AU54" s="2040"/>
      <c r="AV54" s="2040"/>
      <c r="AW54" s="2040"/>
      <c r="AX54" s="2041"/>
      <c r="AY54" s="2041"/>
    </row>
    <row r="55" spans="1:51" s="1590" customFormat="1" ht="19.899999999999999" customHeight="1">
      <c r="B55" s="2042"/>
      <c r="C55" s="1583"/>
      <c r="D55" s="1583"/>
      <c r="E55" s="1583"/>
      <c r="F55" s="1595"/>
      <c r="AK55" s="2040"/>
      <c r="AL55" s="2040"/>
      <c r="AM55" s="2040"/>
      <c r="AN55" s="2040"/>
      <c r="AO55" s="2040"/>
      <c r="AP55" s="2040"/>
      <c r="AQ55" s="2040"/>
      <c r="AR55" s="2040"/>
      <c r="AS55" s="2040"/>
      <c r="AT55" s="2040"/>
      <c r="AU55" s="2040"/>
      <c r="AV55" s="2040"/>
      <c r="AW55" s="2040"/>
      <c r="AX55" s="2041"/>
      <c r="AY55" s="2041"/>
    </row>
    <row r="56" spans="1:51" s="1590" customFormat="1" ht="19.899999999999999" customHeight="1">
      <c r="B56" s="2042"/>
      <c r="C56" s="1583"/>
      <c r="D56" s="1583"/>
      <c r="E56" s="1583"/>
      <c r="F56" s="1583"/>
      <c r="AK56" s="1583"/>
      <c r="AL56" s="1583"/>
      <c r="AM56" s="1583"/>
      <c r="AN56" s="1583"/>
      <c r="AO56" s="1583"/>
      <c r="AP56" s="1583"/>
      <c r="AQ56" s="1583"/>
      <c r="AR56" s="1583"/>
      <c r="AS56" s="1583"/>
      <c r="AT56" s="1583"/>
      <c r="AU56" s="1583"/>
      <c r="AV56" s="1583"/>
      <c r="AW56" s="2040"/>
      <c r="AX56" s="2040"/>
      <c r="AY56" s="2040"/>
    </row>
    <row r="57" spans="1:51" s="1590" customFormat="1" ht="19.899999999999999" customHeight="1">
      <c r="B57" s="2042"/>
      <c r="C57" s="1583"/>
      <c r="D57" s="1583"/>
      <c r="E57" s="1583"/>
      <c r="F57" s="1583"/>
    </row>
    <row r="58" spans="1:51" ht="19.899999999999999" customHeight="1">
      <c r="A58" s="1031"/>
      <c r="B58" s="1031"/>
      <c r="C58" s="1031"/>
      <c r="D58" s="1031"/>
      <c r="E58" s="1031"/>
      <c r="F58" s="1031"/>
      <c r="G58" s="1031"/>
      <c r="H58" s="1031"/>
      <c r="I58" s="1031"/>
      <c r="J58" s="1031"/>
      <c r="K58" s="1031"/>
      <c r="L58" s="1031"/>
      <c r="M58" s="1031"/>
      <c r="N58" s="1031"/>
      <c r="O58" s="1031"/>
      <c r="P58" s="1031"/>
      <c r="Q58" s="1031"/>
      <c r="R58" s="1031"/>
      <c r="S58" s="2040"/>
      <c r="T58" s="2040"/>
      <c r="U58" s="2040"/>
      <c r="V58" s="1031"/>
      <c r="AJ58" s="1031"/>
      <c r="AK58" s="1031"/>
      <c r="AL58" s="1031"/>
      <c r="AM58" s="1031"/>
      <c r="AN58" s="1031"/>
      <c r="AO58" s="1031"/>
      <c r="AP58" s="1031"/>
      <c r="AQ58" s="1031"/>
      <c r="AR58" s="1031"/>
      <c r="AS58" s="1031"/>
      <c r="AT58" s="1031"/>
      <c r="AU58" s="1031"/>
      <c r="AV58" s="1031"/>
      <c r="AW58" s="1031"/>
      <c r="AX58" s="1031"/>
      <c r="AY58" s="1031"/>
    </row>
    <row r="61" spans="1:51">
      <c r="C61" s="1598"/>
      <c r="R61" s="1584"/>
    </row>
  </sheetData>
  <mergeCells count="37">
    <mergeCell ref="K29:M29"/>
    <mergeCell ref="AL50:AM50"/>
    <mergeCell ref="AS50:AT50"/>
    <mergeCell ref="AL51:AM51"/>
    <mergeCell ref="AS51:AT51"/>
    <mergeCell ref="AL49:AM49"/>
    <mergeCell ref="AS49:AT49"/>
    <mergeCell ref="T5:W5"/>
    <mergeCell ref="AL47:AM47"/>
    <mergeCell ref="AS47:AT47"/>
    <mergeCell ref="AL48:AM48"/>
    <mergeCell ref="AS48:AT48"/>
    <mergeCell ref="AO42:AR42"/>
    <mergeCell ref="AO43:AR44"/>
    <mergeCell ref="AL46:AN46"/>
    <mergeCell ref="AS46:AU46"/>
    <mergeCell ref="T6:W7"/>
    <mergeCell ref="AC19:AD19"/>
    <mergeCell ref="P10:Q10"/>
    <mergeCell ref="S10:T10"/>
    <mergeCell ref="W10:X10"/>
    <mergeCell ref="Z10:AA10"/>
    <mergeCell ref="P19:Q19"/>
    <mergeCell ref="S19:T19"/>
    <mergeCell ref="W19:X19"/>
    <mergeCell ref="Z19:AA19"/>
    <mergeCell ref="E32:E34"/>
    <mergeCell ref="C17:E19"/>
    <mergeCell ref="C5:E7"/>
    <mergeCell ref="F5:F7"/>
    <mergeCell ref="F17:F19"/>
    <mergeCell ref="F13:G13"/>
    <mergeCell ref="F14:H14"/>
    <mergeCell ref="F22:G22"/>
    <mergeCell ref="F11:F12"/>
    <mergeCell ref="F23:G23"/>
    <mergeCell ref="F24:H24"/>
  </mergeCells>
  <phoneticPr fontId="6" type="noConversion"/>
  <pageMargins left="0.7" right="0.7" top="0.75" bottom="0.75" header="0.3" footer="0.3"/>
  <pageSetup paperSize="9" scale="47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6" tint="0.59999389629810485"/>
  </sheetPr>
  <dimension ref="A1:AM103"/>
  <sheetViews>
    <sheetView view="pageBreakPreview" zoomScale="70" zoomScaleNormal="100" zoomScaleSheetLayoutView="70" workbookViewId="0">
      <selection activeCell="B2" sqref="B2"/>
    </sheetView>
  </sheetViews>
  <sheetFormatPr defaultColWidth="9" defaultRowHeight="15"/>
  <cols>
    <col min="1" max="1" width="1.625" style="957" customWidth="1"/>
    <col min="2" max="2" width="15" style="957" customWidth="1"/>
    <col min="3" max="3" width="25.125" style="957" customWidth="1"/>
    <col min="4" max="12" width="8.875" style="957" customWidth="1"/>
    <col min="13" max="13" width="8.75" style="957" customWidth="1"/>
    <col min="14" max="19" width="8.875" style="957" customWidth="1"/>
    <col min="20" max="20" width="2.625" style="957" customWidth="1"/>
    <col min="21" max="21" width="11.375" style="957" bestFit="1" customWidth="1"/>
    <col min="22" max="22" width="1.625" style="957" customWidth="1"/>
    <col min="23" max="23" width="14.875" style="957" customWidth="1"/>
    <col min="24" max="24" width="7" style="957" customWidth="1"/>
    <col min="25" max="25" width="17.125" style="957" customWidth="1"/>
    <col min="26" max="27" width="8.875" style="957" customWidth="1"/>
    <col min="28" max="28" width="12.625" style="957" customWidth="1"/>
    <col min="29" max="39" width="8.875" style="957" customWidth="1"/>
    <col min="40" max="16384" width="9" style="957"/>
  </cols>
  <sheetData>
    <row r="1" spans="1:39" ht="15.95" customHeight="1">
      <c r="Y1" s="957" t="s">
        <v>288</v>
      </c>
    </row>
    <row r="2" spans="1:39" s="1640" customFormat="1" ht="30" customHeight="1">
      <c r="A2" s="1639"/>
      <c r="B2" s="2114" t="s">
        <v>1102</v>
      </c>
      <c r="C2" s="1639"/>
      <c r="D2" s="1639"/>
      <c r="E2" s="1639"/>
      <c r="F2" s="1639"/>
      <c r="G2" s="1639"/>
      <c r="H2" s="1639"/>
      <c r="I2" s="1639"/>
      <c r="J2" s="1639"/>
      <c r="K2" s="1639"/>
      <c r="L2" s="1639"/>
      <c r="M2" s="1639"/>
      <c r="N2" s="1639"/>
      <c r="O2" s="1639"/>
      <c r="P2" s="1639"/>
      <c r="Q2" s="1639"/>
      <c r="R2" s="1639"/>
      <c r="S2" s="1639"/>
      <c r="T2" s="1639"/>
      <c r="U2" s="1639"/>
      <c r="X2" s="1641"/>
      <c r="Y2" s="1641"/>
      <c r="Z2" s="1641"/>
      <c r="AA2" s="1641"/>
      <c r="AB2" s="1641"/>
      <c r="AC2" s="1641"/>
      <c r="AD2" s="1641"/>
      <c r="AE2" s="1641"/>
      <c r="AF2" s="1641"/>
      <c r="AG2" s="1641"/>
      <c r="AH2" s="1641"/>
      <c r="AI2" s="1641"/>
      <c r="AJ2" s="1641"/>
      <c r="AK2" s="1641"/>
      <c r="AL2" s="1641"/>
      <c r="AM2" s="1641"/>
    </row>
    <row r="3" spans="1:39" ht="15.95" customHeight="1">
      <c r="S3" s="1601" t="s">
        <v>1103</v>
      </c>
      <c r="T3" s="1602"/>
      <c r="U3" s="1601"/>
      <c r="V3" s="1601"/>
      <c r="X3" s="1600"/>
      <c r="Y3" s="1600"/>
      <c r="Z3" s="1600"/>
      <c r="AA3" s="1600"/>
      <c r="AB3" s="1600"/>
      <c r="AC3" s="1600"/>
      <c r="AD3" s="1600"/>
      <c r="AE3" s="1600"/>
      <c r="AF3" s="1600"/>
      <c r="AG3" s="1600"/>
      <c r="AH3" s="1600"/>
      <c r="AI3" s="1600"/>
      <c r="AJ3" s="1600"/>
      <c r="AK3" s="1600"/>
      <c r="AL3" s="1600"/>
      <c r="AM3" s="1600"/>
    </row>
    <row r="4" spans="1:39" ht="15.95" customHeight="1">
      <c r="B4" s="2872" t="s">
        <v>33</v>
      </c>
      <c r="C4" s="2872"/>
      <c r="D4" s="2919" t="s">
        <v>2151</v>
      </c>
      <c r="E4" s="2919"/>
      <c r="F4" s="2919"/>
      <c r="G4" s="2919"/>
      <c r="H4" s="2919"/>
      <c r="I4" s="2919"/>
      <c r="J4" s="2872" t="s">
        <v>289</v>
      </c>
      <c r="K4" s="2872"/>
      <c r="L4" s="2872"/>
      <c r="M4" s="2872"/>
      <c r="N4" s="2872"/>
      <c r="O4" s="2872"/>
      <c r="P4" s="2872"/>
      <c r="Q4" s="2872"/>
      <c r="R4" s="2872"/>
      <c r="S4" s="2872"/>
      <c r="T4" s="1603"/>
      <c r="U4" s="1006" t="s">
        <v>509</v>
      </c>
      <c r="V4" s="1600"/>
      <c r="W4" s="1600"/>
      <c r="X4" s="1600"/>
      <c r="Y4" s="1600"/>
      <c r="Z4" s="1600"/>
      <c r="AA4" s="1600"/>
      <c r="AB4" s="1600"/>
      <c r="AC4" s="1600"/>
      <c r="AD4" s="1600"/>
      <c r="AE4" s="1600"/>
      <c r="AF4" s="1600"/>
      <c r="AG4" s="1600"/>
      <c r="AH4" s="1600"/>
      <c r="AI4" s="1600"/>
      <c r="AJ4" s="1600"/>
      <c r="AK4" s="1600"/>
    </row>
    <row r="5" spans="1:39" ht="15.95" customHeight="1">
      <c r="B5" s="2872"/>
      <c r="C5" s="2872"/>
      <c r="D5" s="2872" t="s">
        <v>290</v>
      </c>
      <c r="E5" s="2872"/>
      <c r="F5" s="2872" t="s">
        <v>227</v>
      </c>
      <c r="G5" s="2872"/>
      <c r="H5" s="2872" t="s">
        <v>291</v>
      </c>
      <c r="I5" s="2872" t="s">
        <v>290</v>
      </c>
      <c r="J5" s="2872"/>
      <c r="K5" s="2872"/>
      <c r="L5" s="2872"/>
      <c r="M5" s="2872"/>
      <c r="N5" s="2872"/>
      <c r="O5" s="2872"/>
      <c r="P5" s="2872"/>
      <c r="Q5" s="2872"/>
      <c r="R5" s="2872"/>
      <c r="S5" s="2872"/>
      <c r="T5" s="1603"/>
      <c r="U5" s="1603"/>
      <c r="V5" s="1600"/>
      <c r="W5" s="1600"/>
      <c r="X5" s="1600"/>
      <c r="Y5" s="1600"/>
      <c r="Z5" s="1600"/>
      <c r="AA5" s="1600"/>
      <c r="AB5" s="1600"/>
      <c r="AC5" s="1600"/>
      <c r="AD5" s="1600"/>
      <c r="AE5" s="1600"/>
      <c r="AF5" s="1600"/>
      <c r="AG5" s="1600"/>
      <c r="AH5" s="1600"/>
      <c r="AI5" s="1600"/>
      <c r="AJ5" s="1600"/>
      <c r="AK5" s="1600"/>
    </row>
    <row r="6" spans="1:39" ht="15.95" customHeight="1">
      <c r="B6" s="2914" t="s">
        <v>292</v>
      </c>
      <c r="C6" s="2369" t="s">
        <v>293</v>
      </c>
      <c r="D6" s="2915">
        <f>'3-4) 예산-실적 비교'!D65</f>
        <v>28442430</v>
      </c>
      <c r="E6" s="2915"/>
      <c r="F6" s="2915">
        <f>Q45</f>
        <v>0</v>
      </c>
      <c r="G6" s="2915"/>
      <c r="H6" s="2915">
        <f t="shared" ref="H6:H16" si="0">F6-D6</f>
        <v>-28442430</v>
      </c>
      <c r="I6" s="2915"/>
      <c r="J6" s="2920" t="s">
        <v>2149</v>
      </c>
      <c r="K6" s="2920"/>
      <c r="L6" s="2920"/>
      <c r="M6" s="2920"/>
      <c r="N6" s="2920"/>
      <c r="O6" s="2920"/>
      <c r="P6" s="2920"/>
      <c r="Q6" s="2920"/>
      <c r="R6" s="2920"/>
      <c r="S6" s="2920"/>
      <c r="T6" s="1604"/>
      <c r="U6" s="1605"/>
      <c r="V6" s="1600"/>
      <c r="W6" s="1600"/>
      <c r="X6" s="1600"/>
      <c r="Y6" s="1600"/>
      <c r="Z6" s="1600"/>
      <c r="AA6" s="1600"/>
      <c r="AB6" s="1600"/>
      <c r="AC6" s="1600"/>
      <c r="AD6" s="1600"/>
      <c r="AE6" s="1600"/>
      <c r="AF6" s="1600"/>
      <c r="AG6" s="1600"/>
      <c r="AH6" s="1600"/>
      <c r="AI6" s="1600"/>
      <c r="AJ6" s="1600"/>
      <c r="AK6" s="1600"/>
    </row>
    <row r="7" spans="1:39" ht="15.75" customHeight="1">
      <c r="B7" s="2914"/>
      <c r="C7" s="2370" t="s">
        <v>294</v>
      </c>
      <c r="D7" s="2915">
        <f>'3-4) 예산-실적 비교'!D66</f>
        <v>102577700</v>
      </c>
      <c r="E7" s="2915"/>
      <c r="F7" s="2915">
        <f>Q47</f>
        <v>0</v>
      </c>
      <c r="G7" s="2915"/>
      <c r="H7" s="2915">
        <f>F7-D7</f>
        <v>-102577700</v>
      </c>
      <c r="I7" s="2915"/>
      <c r="J7" s="2920" t="s">
        <v>2152</v>
      </c>
      <c r="K7" s="2920"/>
      <c r="L7" s="2920"/>
      <c r="M7" s="2920"/>
      <c r="N7" s="2920"/>
      <c r="O7" s="2920"/>
      <c r="P7" s="2920"/>
      <c r="Q7" s="2920"/>
      <c r="R7" s="2920"/>
      <c r="S7" s="2920"/>
      <c r="T7" s="1604"/>
      <c r="U7" s="1605"/>
      <c r="V7" s="1600"/>
      <c r="W7" s="1600"/>
      <c r="X7" s="1600"/>
      <c r="Y7" s="1600"/>
      <c r="Z7" s="1600"/>
      <c r="AA7" s="1600"/>
      <c r="AB7" s="1600"/>
      <c r="AC7" s="1600"/>
      <c r="AD7" s="1600"/>
      <c r="AE7" s="1600"/>
      <c r="AF7" s="1600"/>
      <c r="AG7" s="1600"/>
      <c r="AH7" s="1600"/>
      <c r="AI7" s="1600"/>
      <c r="AJ7" s="1600"/>
      <c r="AK7" s="1600"/>
    </row>
    <row r="8" spans="1:39" s="1606" customFormat="1" ht="15.95" customHeight="1">
      <c r="B8" s="2914"/>
      <c r="C8" s="2371" t="s">
        <v>266</v>
      </c>
      <c r="D8" s="2915">
        <f>'3-4) 예산-실적 비교'!D68</f>
        <v>405892441.70076692</v>
      </c>
      <c r="E8" s="2915"/>
      <c r="F8" s="2915">
        <f>'3-4) 예산-실적 비교'!E68</f>
        <v>413706309</v>
      </c>
      <c r="G8" s="2915"/>
      <c r="H8" s="2915">
        <f t="shared" si="0"/>
        <v>7813867.299233079</v>
      </c>
      <c r="I8" s="2915"/>
      <c r="J8" s="2916" t="s">
        <v>2155</v>
      </c>
      <c r="K8" s="2916"/>
      <c r="L8" s="2916"/>
      <c r="M8" s="2916"/>
      <c r="N8" s="2916"/>
      <c r="O8" s="2916"/>
      <c r="P8" s="2916"/>
      <c r="Q8" s="2916"/>
      <c r="R8" s="2916"/>
      <c r="S8" s="2916"/>
      <c r="T8" s="1607"/>
      <c r="U8" s="1608"/>
      <c r="V8" s="1600"/>
      <c r="W8" s="1600"/>
      <c r="X8" s="1600"/>
      <c r="Y8" s="1600"/>
      <c r="Z8" s="1600"/>
      <c r="AA8" s="1600"/>
      <c r="AB8" s="1600"/>
      <c r="AC8" s="1600"/>
      <c r="AD8" s="1600"/>
      <c r="AE8" s="1600"/>
      <c r="AF8" s="1600"/>
      <c r="AG8" s="1600"/>
      <c r="AH8" s="1600"/>
      <c r="AI8" s="1600"/>
      <c r="AJ8" s="1600"/>
      <c r="AK8" s="1600"/>
    </row>
    <row r="9" spans="1:39" ht="15.95" hidden="1" customHeight="1">
      <c r="B9" s="2914"/>
      <c r="C9" s="2372" t="s">
        <v>295</v>
      </c>
      <c r="D9" s="2915">
        <f>'3-4) 예산-실적 비교'!D69</f>
        <v>165913025.42628232</v>
      </c>
      <c r="E9" s="2915"/>
      <c r="F9" s="2910">
        <f>'3-4) 예산-실적 비교'!E69</f>
        <v>196054104</v>
      </c>
      <c r="G9" s="2910"/>
      <c r="H9" s="2910">
        <f t="shared" si="0"/>
        <v>30141078.573717684</v>
      </c>
      <c r="I9" s="2910"/>
      <c r="J9" s="2912"/>
      <c r="K9" s="2912"/>
      <c r="L9" s="2912"/>
      <c r="M9" s="2912"/>
      <c r="N9" s="2912"/>
      <c r="O9" s="2912"/>
      <c r="P9" s="2373"/>
      <c r="Q9" s="2373"/>
      <c r="R9" s="2373"/>
      <c r="S9" s="2373"/>
      <c r="T9" s="1609"/>
      <c r="U9" s="1609"/>
      <c r="V9" s="1600"/>
      <c r="W9" s="1600"/>
      <c r="X9" s="1600"/>
      <c r="Y9" s="1600"/>
      <c r="Z9" s="1600"/>
      <c r="AA9" s="1600"/>
      <c r="AB9" s="1600"/>
      <c r="AC9" s="1600"/>
      <c r="AD9" s="1600"/>
      <c r="AE9" s="1600"/>
      <c r="AF9" s="1600"/>
      <c r="AG9" s="1600"/>
      <c r="AH9" s="1600"/>
      <c r="AI9" s="1600"/>
      <c r="AJ9" s="1600"/>
      <c r="AK9" s="1600"/>
    </row>
    <row r="10" spans="1:39" ht="15.95" hidden="1" customHeight="1">
      <c r="B10" s="2914"/>
      <c r="C10" s="2374" t="s">
        <v>218</v>
      </c>
      <c r="D10" s="2915">
        <f>'3-4) 예산-실적 비교'!D70</f>
        <v>230406116.2744846</v>
      </c>
      <c r="E10" s="2915"/>
      <c r="F10" s="2910">
        <f>'3-4) 예산-실적 비교'!E70</f>
        <v>215900888</v>
      </c>
      <c r="G10" s="2910"/>
      <c r="H10" s="2910">
        <f t="shared" si="0"/>
        <v>-14505228.274484605</v>
      </c>
      <c r="I10" s="2910"/>
      <c r="J10" s="2912"/>
      <c r="K10" s="2912"/>
      <c r="L10" s="2912"/>
      <c r="M10" s="2912"/>
      <c r="N10" s="2912"/>
      <c r="O10" s="2912"/>
      <c r="P10" s="2373"/>
      <c r="Q10" s="2373"/>
      <c r="R10" s="2373"/>
      <c r="S10" s="2373"/>
      <c r="T10" s="1609"/>
      <c r="U10" s="1609"/>
      <c r="V10" s="1600"/>
      <c r="W10" s="1600"/>
      <c r="X10" s="1600"/>
      <c r="Y10" s="1600"/>
      <c r="Z10" s="1600"/>
      <c r="AA10" s="1600"/>
      <c r="AB10" s="1600"/>
      <c r="AC10" s="1600"/>
      <c r="AD10" s="1600"/>
      <c r="AE10" s="1600"/>
      <c r="AF10" s="1600"/>
      <c r="AG10" s="1600"/>
      <c r="AH10" s="1600"/>
      <c r="AI10" s="1600"/>
      <c r="AJ10" s="1600"/>
      <c r="AK10" s="1600"/>
    </row>
    <row r="11" spans="1:39" ht="15.95" customHeight="1">
      <c r="B11" s="2914"/>
      <c r="C11" s="2370" t="s">
        <v>220</v>
      </c>
      <c r="D11" s="2915">
        <f>'3-4) 예산-실적 비교'!D63</f>
        <v>2247096</v>
      </c>
      <c r="E11" s="2915"/>
      <c r="F11" s="2915">
        <f>'3-4) 예산-실적 비교'!E63</f>
        <v>2464903</v>
      </c>
      <c r="G11" s="2915"/>
      <c r="H11" s="2915">
        <f t="shared" si="0"/>
        <v>217807</v>
      </c>
      <c r="I11" s="2915"/>
      <c r="J11" s="2920"/>
      <c r="K11" s="2920"/>
      <c r="L11" s="2920"/>
      <c r="M11" s="2920"/>
      <c r="N11" s="2920"/>
      <c r="O11" s="2920"/>
      <c r="P11" s="2920"/>
      <c r="Q11" s="2920"/>
      <c r="R11" s="2920"/>
      <c r="S11" s="2920"/>
      <c r="T11" s="1604"/>
      <c r="U11" s="1608"/>
      <c r="V11" s="1600"/>
      <c r="W11" s="1600"/>
      <c r="X11" s="1600"/>
      <c r="Y11" s="1600"/>
      <c r="Z11" s="1600"/>
      <c r="AA11" s="1600"/>
      <c r="AB11" s="1600"/>
      <c r="AC11" s="1600"/>
      <c r="AD11" s="1600"/>
      <c r="AE11" s="1600"/>
      <c r="AF11" s="1600"/>
      <c r="AG11" s="1600"/>
      <c r="AH11" s="1600"/>
      <c r="AI11" s="1600"/>
      <c r="AJ11" s="1600"/>
      <c r="AK11" s="1600"/>
    </row>
    <row r="12" spans="1:39" ht="15.95" hidden="1" customHeight="1">
      <c r="B12" s="2914"/>
      <c r="C12" s="2372" t="s">
        <v>217</v>
      </c>
      <c r="D12" s="2910"/>
      <c r="E12" s="2910"/>
      <c r="F12" s="2910">
        <f>'3-4) 예산-실적 비교'!E73</f>
        <v>13944640</v>
      </c>
      <c r="G12" s="2910"/>
      <c r="H12" s="2910">
        <f t="shared" si="0"/>
        <v>13944640</v>
      </c>
      <c r="I12" s="2910"/>
      <c r="J12" s="2912"/>
      <c r="K12" s="2912"/>
      <c r="L12" s="2912"/>
      <c r="M12" s="2912"/>
      <c r="N12" s="2912"/>
      <c r="O12" s="2912"/>
      <c r="P12" s="2375"/>
      <c r="Q12" s="2375"/>
      <c r="R12" s="2375"/>
      <c r="S12" s="2375"/>
      <c r="T12" s="1610"/>
      <c r="U12" s="1610"/>
      <c r="V12" s="1600"/>
      <c r="W12" s="1600"/>
      <c r="X12" s="1600"/>
      <c r="Y12" s="1600"/>
      <c r="Z12" s="1600"/>
      <c r="AA12" s="1600"/>
      <c r="AB12" s="1600"/>
      <c r="AC12" s="1600"/>
      <c r="AD12" s="1600"/>
      <c r="AE12" s="1600"/>
      <c r="AF12" s="1600"/>
      <c r="AG12" s="1600"/>
      <c r="AH12" s="1600"/>
      <c r="AI12" s="1600"/>
      <c r="AJ12" s="1600"/>
      <c r="AK12" s="1600"/>
    </row>
    <row r="13" spans="1:39" ht="15.95" customHeight="1">
      <c r="B13" s="2914"/>
      <c r="C13" s="2370" t="s">
        <v>296</v>
      </c>
      <c r="D13" s="2915">
        <f>'3-4) 예산-실적 비교'!D73</f>
        <v>13944640</v>
      </c>
      <c r="E13" s="2915"/>
      <c r="F13" s="2915">
        <f>'3-4) 예산-실적 비교'!E73</f>
        <v>13944640</v>
      </c>
      <c r="G13" s="2915"/>
      <c r="H13" s="2915">
        <f t="shared" si="0"/>
        <v>0</v>
      </c>
      <c r="I13" s="2915"/>
      <c r="J13" s="2920"/>
      <c r="K13" s="2920"/>
      <c r="L13" s="2920"/>
      <c r="M13" s="2920"/>
      <c r="N13" s="2920"/>
      <c r="O13" s="2920"/>
      <c r="P13" s="2920"/>
      <c r="Q13" s="2920"/>
      <c r="R13" s="2920"/>
      <c r="S13" s="2920"/>
      <c r="T13" s="1604"/>
      <c r="U13" s="1605"/>
      <c r="V13" s="1600"/>
      <c r="W13" s="1600"/>
      <c r="X13" s="1600"/>
      <c r="Y13" s="1600"/>
      <c r="Z13" s="1600"/>
      <c r="AA13" s="1600"/>
      <c r="AB13" s="1600"/>
      <c r="AC13" s="1600"/>
      <c r="AD13" s="1600"/>
      <c r="AE13" s="1600"/>
      <c r="AF13" s="1600"/>
      <c r="AG13" s="1600"/>
      <c r="AH13" s="1600"/>
      <c r="AI13" s="1600"/>
      <c r="AJ13" s="1600"/>
      <c r="AK13" s="1600"/>
    </row>
    <row r="14" spans="1:39" s="1606" customFormat="1" ht="15.95" customHeight="1">
      <c r="B14" s="2914"/>
      <c r="C14" s="2371" t="s">
        <v>267</v>
      </c>
      <c r="D14" s="2915">
        <f>'3-4) 예산-실적 비교'!D75</f>
        <v>69110081.441256836</v>
      </c>
      <c r="E14" s="2915"/>
      <c r="F14" s="2915">
        <f>'3-4) 예산-실적 비교'!E75</f>
        <v>69758495</v>
      </c>
      <c r="G14" s="2915"/>
      <c r="H14" s="2915">
        <f t="shared" si="0"/>
        <v>648413.55874316394</v>
      </c>
      <c r="I14" s="2915"/>
      <c r="J14" s="2920" t="s">
        <v>1693</v>
      </c>
      <c r="K14" s="2920"/>
      <c r="L14" s="2920"/>
      <c r="M14" s="2920"/>
      <c r="N14" s="2920"/>
      <c r="O14" s="2920"/>
      <c r="P14" s="2920"/>
      <c r="Q14" s="2920"/>
      <c r="R14" s="2920"/>
      <c r="S14" s="2920"/>
      <c r="T14" s="1604"/>
      <c r="U14" s="1605"/>
      <c r="V14" s="1600"/>
      <c r="W14" s="1600"/>
      <c r="X14" s="1600"/>
      <c r="Y14" s="1600"/>
      <c r="Z14" s="1600"/>
      <c r="AA14" s="1600"/>
      <c r="AB14" s="1600"/>
      <c r="AC14" s="1600"/>
      <c r="AD14" s="1600"/>
      <c r="AE14" s="1600"/>
      <c r="AF14" s="1600"/>
      <c r="AG14" s="1600"/>
      <c r="AH14" s="1600"/>
      <c r="AI14" s="1600"/>
      <c r="AJ14" s="1600"/>
      <c r="AK14" s="1600"/>
    </row>
    <row r="15" spans="1:39" ht="15.95" hidden="1" customHeight="1">
      <c r="B15" s="2914"/>
      <c r="C15" s="2372" t="s">
        <v>297</v>
      </c>
      <c r="D15" s="2910" t="e">
        <v>#REF!</v>
      </c>
      <c r="E15" s="2910"/>
      <c r="F15" s="2910">
        <v>12570321</v>
      </c>
      <c r="G15" s="2910"/>
      <c r="H15" s="2910" t="e">
        <f t="shared" si="0"/>
        <v>#REF!</v>
      </c>
      <c r="I15" s="2910"/>
      <c r="J15" s="2912"/>
      <c r="K15" s="2912"/>
      <c r="L15" s="2912"/>
      <c r="M15" s="2912"/>
      <c r="N15" s="2912"/>
      <c r="O15" s="2912"/>
      <c r="P15" s="2375"/>
      <c r="Q15" s="2375"/>
      <c r="R15" s="2375"/>
      <c r="S15" s="2375"/>
      <c r="T15" s="1610"/>
      <c r="U15" s="1610"/>
      <c r="V15" s="1600"/>
      <c r="W15" s="1600"/>
      <c r="X15" s="1600"/>
      <c r="Y15" s="1600"/>
      <c r="Z15" s="1600"/>
      <c r="AA15" s="1600"/>
      <c r="AB15" s="1600"/>
      <c r="AC15" s="1600"/>
      <c r="AD15" s="1600"/>
      <c r="AE15" s="1600"/>
      <c r="AF15" s="1600"/>
      <c r="AG15" s="1600"/>
      <c r="AH15" s="1600"/>
      <c r="AI15" s="1600"/>
      <c r="AJ15" s="1600"/>
      <c r="AK15" s="1600"/>
    </row>
    <row r="16" spans="1:39" ht="15.95" hidden="1" customHeight="1">
      <c r="B16" s="2914"/>
      <c r="C16" s="2372" t="s">
        <v>298</v>
      </c>
      <c r="D16" s="2910" t="e">
        <v>#REF!</v>
      </c>
      <c r="E16" s="2910"/>
      <c r="F16" s="2910">
        <v>43562960</v>
      </c>
      <c r="G16" s="2910"/>
      <c r="H16" s="2910" t="e">
        <f t="shared" si="0"/>
        <v>#REF!</v>
      </c>
      <c r="I16" s="2910"/>
      <c r="J16" s="2912"/>
      <c r="K16" s="2912"/>
      <c r="L16" s="2912"/>
      <c r="M16" s="2912"/>
      <c r="N16" s="2912"/>
      <c r="O16" s="2912"/>
      <c r="P16" s="2375"/>
      <c r="Q16" s="2375"/>
      <c r="R16" s="2375"/>
      <c r="S16" s="2375"/>
      <c r="T16" s="1610"/>
      <c r="U16" s="1610"/>
      <c r="V16" s="1600"/>
      <c r="W16" s="1600"/>
      <c r="X16" s="1600"/>
      <c r="Y16" s="1600"/>
      <c r="Z16" s="1600"/>
      <c r="AA16" s="1600"/>
      <c r="AB16" s="1600"/>
      <c r="AC16" s="1600"/>
      <c r="AD16" s="1600"/>
      <c r="AE16" s="1600"/>
      <c r="AF16" s="1600"/>
      <c r="AG16" s="1600"/>
      <c r="AH16" s="1600"/>
      <c r="AI16" s="1600"/>
      <c r="AJ16" s="1600"/>
      <c r="AK16" s="1600"/>
    </row>
    <row r="17" spans="2:39" ht="18.75" customHeight="1">
      <c r="B17" s="2918" t="s">
        <v>299</v>
      </c>
      <c r="C17" s="2918"/>
      <c r="D17" s="2915">
        <f>SUM(D6:E8)+D11+D13+D14</f>
        <v>622214389.1420238</v>
      </c>
      <c r="E17" s="2915"/>
      <c r="F17" s="2915">
        <f>SUM(F6:G8)+F11+F13+F14</f>
        <v>499874347</v>
      </c>
      <c r="G17" s="2915"/>
      <c r="H17" s="2915">
        <f>SUM(H6:I8)+H11+H13+H14</f>
        <v>-122340042.14202376</v>
      </c>
      <c r="I17" s="2915"/>
      <c r="J17" s="2920"/>
      <c r="K17" s="2920"/>
      <c r="L17" s="2920"/>
      <c r="M17" s="2920"/>
      <c r="N17" s="2920"/>
      <c r="O17" s="2920"/>
      <c r="P17" s="2920"/>
      <c r="Q17" s="2920"/>
      <c r="R17" s="2920"/>
      <c r="S17" s="2920"/>
      <c r="T17" s="1604"/>
      <c r="U17" s="1605"/>
      <c r="V17" s="1600"/>
      <c r="W17" s="1600"/>
      <c r="X17" s="1600"/>
      <c r="Y17" s="1600"/>
      <c r="Z17" s="1600"/>
      <c r="AA17" s="1600"/>
      <c r="AB17" s="1600"/>
      <c r="AC17" s="1600"/>
      <c r="AD17" s="1600"/>
      <c r="AE17" s="1600"/>
      <c r="AF17" s="1600"/>
      <c r="AG17" s="1600"/>
      <c r="AH17" s="1600"/>
      <c r="AI17" s="1600"/>
      <c r="AJ17" s="1600"/>
      <c r="AK17" s="1600"/>
    </row>
    <row r="18" spans="2:39" ht="15.95" customHeight="1">
      <c r="B18" s="1611" t="s">
        <v>300</v>
      </c>
      <c r="C18" s="1612"/>
      <c r="D18" s="1613"/>
      <c r="E18" s="1613"/>
      <c r="F18" s="1613"/>
      <c r="G18" s="1613"/>
      <c r="H18" s="1613"/>
      <c r="I18" s="1613"/>
      <c r="J18" s="1613"/>
      <c r="K18" s="1613"/>
      <c r="L18" s="1613"/>
      <c r="M18" s="1613"/>
      <c r="N18" s="1613"/>
      <c r="O18" s="1613"/>
      <c r="P18" s="1613"/>
      <c r="Q18" s="1613"/>
      <c r="R18" s="1613"/>
      <c r="S18" s="1612"/>
      <c r="T18" s="1612"/>
      <c r="U18" s="1612"/>
      <c r="V18" s="1612"/>
      <c r="W18" s="1600"/>
      <c r="X18" s="1600"/>
      <c r="Y18" s="1600"/>
      <c r="Z18" s="1600"/>
      <c r="AA18" s="1600"/>
      <c r="AB18" s="1600"/>
      <c r="AC18" s="1600"/>
      <c r="AD18" s="1600"/>
      <c r="AE18" s="1600"/>
      <c r="AF18" s="1600"/>
      <c r="AG18" s="1600"/>
      <c r="AH18" s="1600"/>
      <c r="AI18" s="1600"/>
      <c r="AJ18" s="1600"/>
      <c r="AK18" s="1600"/>
      <c r="AL18" s="1600"/>
    </row>
    <row r="19" spans="2:39" ht="15.95" customHeight="1">
      <c r="W19" s="1600"/>
      <c r="X19" s="1600"/>
      <c r="Y19" s="1600"/>
      <c r="Z19" s="1600"/>
      <c r="AA19" s="1600"/>
      <c r="AB19" s="1600"/>
      <c r="AC19" s="1600"/>
      <c r="AD19" s="1600"/>
      <c r="AE19" s="1600"/>
      <c r="AF19" s="1600"/>
      <c r="AG19" s="1600"/>
      <c r="AH19" s="1600"/>
      <c r="AI19" s="1600"/>
      <c r="AJ19" s="1600"/>
      <c r="AK19" s="1600"/>
      <c r="AL19" s="1600"/>
    </row>
    <row r="20" spans="2:39" ht="15.95" customHeight="1">
      <c r="B20" s="2917" t="s">
        <v>301</v>
      </c>
      <c r="C20" s="2917"/>
      <c r="W20" s="1600"/>
      <c r="X20" s="1600"/>
      <c r="Y20" s="1600"/>
      <c r="Z20" s="1600"/>
      <c r="AA20" s="1600"/>
      <c r="AB20" s="1600"/>
      <c r="AC20" s="1600"/>
      <c r="AD20" s="1600"/>
      <c r="AE20" s="1600"/>
      <c r="AF20" s="1600"/>
      <c r="AG20" s="1600"/>
      <c r="AH20" s="1600"/>
      <c r="AI20" s="1600"/>
      <c r="AJ20" s="1600"/>
      <c r="AK20" s="1600"/>
      <c r="AL20" s="1600"/>
    </row>
    <row r="21" spans="2:39" ht="25.9" customHeight="1">
      <c r="B21" s="2872" t="s">
        <v>33</v>
      </c>
      <c r="C21" s="2872"/>
      <c r="D21" s="2872" t="s">
        <v>302</v>
      </c>
      <c r="E21" s="2872"/>
      <c r="F21" s="2872"/>
      <c r="G21" s="2872"/>
      <c r="H21" s="2872"/>
      <c r="I21" s="2872"/>
      <c r="J21" s="2872"/>
      <c r="K21" s="2872"/>
      <c r="L21" s="2872"/>
      <c r="M21" s="2872" t="s">
        <v>289</v>
      </c>
      <c r="N21" s="2872"/>
      <c r="O21" s="2872"/>
      <c r="P21" s="2872"/>
      <c r="Q21" s="2872"/>
      <c r="R21" s="2872"/>
      <c r="S21" s="2872"/>
      <c r="T21" s="1603"/>
      <c r="U21" s="1603"/>
      <c r="V21" s="1600"/>
      <c r="W21" s="1600"/>
      <c r="X21" s="1600"/>
      <c r="Y21" s="1600"/>
      <c r="Z21" s="1600"/>
      <c r="AA21" s="1600"/>
      <c r="AB21" s="1600"/>
      <c r="AC21" s="1600"/>
      <c r="AD21" s="1600"/>
      <c r="AE21" s="1600"/>
      <c r="AF21" s="1600"/>
      <c r="AG21" s="1600"/>
      <c r="AH21" s="1600"/>
      <c r="AI21" s="1600"/>
      <c r="AJ21" s="1600"/>
      <c r="AK21" s="1600"/>
    </row>
    <row r="22" spans="2:39" ht="15.95" customHeight="1">
      <c r="B22" s="2907" t="str">
        <f>C6</f>
        <v>PM 수수료</v>
      </c>
      <c r="C22" s="2907"/>
      <c r="D22" s="2907" t="s">
        <v>2150</v>
      </c>
      <c r="E22" s="2907"/>
      <c r="F22" s="2907"/>
      <c r="G22" s="2907"/>
      <c r="H22" s="2907"/>
      <c r="I22" s="2907"/>
      <c r="J22" s="2907"/>
      <c r="K22" s="2907"/>
      <c r="L22" s="2907"/>
      <c r="M22" s="2907" t="s">
        <v>2149</v>
      </c>
      <c r="N22" s="2907"/>
      <c r="O22" s="2907"/>
      <c r="P22" s="2907"/>
      <c r="Q22" s="2907"/>
      <c r="R22" s="2907"/>
      <c r="S22" s="2907"/>
      <c r="T22" s="1603"/>
      <c r="U22" s="1603"/>
      <c r="V22" s="1600"/>
      <c r="W22" s="1600"/>
      <c r="X22" s="1600"/>
      <c r="Y22" s="1600"/>
      <c r="Z22" s="1600"/>
      <c r="AA22" s="1600"/>
      <c r="AB22" s="1600"/>
      <c r="AC22" s="1600"/>
      <c r="AD22" s="1600"/>
      <c r="AE22" s="1600"/>
      <c r="AF22" s="1600"/>
      <c r="AG22" s="1600"/>
      <c r="AH22" s="1600"/>
      <c r="AI22" s="1600"/>
      <c r="AJ22" s="1600"/>
      <c r="AK22" s="1600"/>
    </row>
    <row r="23" spans="2:39" ht="16.5" customHeight="1">
      <c r="B23" s="2911" t="str">
        <f>C7</f>
        <v>FM 수수료</v>
      </c>
      <c r="C23" s="2911"/>
      <c r="D23" s="2907" t="s">
        <v>2150</v>
      </c>
      <c r="E23" s="2907"/>
      <c r="F23" s="2907"/>
      <c r="G23" s="2907"/>
      <c r="H23" s="2907"/>
      <c r="I23" s="2907"/>
      <c r="J23" s="2907"/>
      <c r="K23" s="2907"/>
      <c r="L23" s="2907"/>
      <c r="M23" s="2914" t="s">
        <v>2149</v>
      </c>
      <c r="N23" s="2914"/>
      <c r="O23" s="2914"/>
      <c r="P23" s="2914"/>
      <c r="Q23" s="2914"/>
      <c r="R23" s="2914"/>
      <c r="S23" s="2914"/>
      <c r="T23" s="1614"/>
      <c r="U23" s="1614"/>
      <c r="V23" s="1600"/>
      <c r="W23" s="1600"/>
      <c r="X23" s="1600"/>
      <c r="Y23" s="1600"/>
      <c r="Z23" s="1600"/>
      <c r="AA23" s="1600"/>
      <c r="AB23" s="1600"/>
      <c r="AC23" s="1600"/>
      <c r="AD23" s="1600"/>
      <c r="AE23" s="1600"/>
      <c r="AF23" s="1600"/>
      <c r="AG23" s="1600"/>
      <c r="AH23" s="1600"/>
      <c r="AI23" s="1600"/>
      <c r="AJ23" s="1600"/>
      <c r="AK23" s="1600"/>
    </row>
    <row r="24" spans="2:39" s="1606" customFormat="1" ht="16.5" customHeight="1">
      <c r="B24" s="2908" t="s">
        <v>266</v>
      </c>
      <c r="C24" s="2908"/>
      <c r="D24" s="2907" t="s">
        <v>2155</v>
      </c>
      <c r="E24" s="2907"/>
      <c r="F24" s="2907"/>
      <c r="G24" s="2907"/>
      <c r="H24" s="2907"/>
      <c r="I24" s="2907"/>
      <c r="J24" s="2907"/>
      <c r="K24" s="2907"/>
      <c r="L24" s="2907"/>
      <c r="M24" s="2909"/>
      <c r="N24" s="2909"/>
      <c r="O24" s="2909"/>
      <c r="P24" s="2909"/>
      <c r="Q24" s="2909"/>
      <c r="R24" s="2909"/>
      <c r="S24" s="2909"/>
      <c r="T24" s="1615"/>
      <c r="U24" s="1615"/>
      <c r="V24" s="1600"/>
      <c r="W24" s="1600"/>
      <c r="X24" s="1600"/>
      <c r="Y24" s="1600"/>
      <c r="Z24" s="1600"/>
      <c r="AA24" s="1600"/>
      <c r="AB24" s="1600"/>
      <c r="AC24" s="1600"/>
      <c r="AD24" s="1600"/>
      <c r="AE24" s="1600"/>
      <c r="AF24" s="1600"/>
      <c r="AG24" s="1600"/>
      <c r="AH24" s="1600"/>
      <c r="AI24" s="1600"/>
      <c r="AJ24" s="1600"/>
      <c r="AK24" s="1600"/>
    </row>
    <row r="25" spans="2:39" s="1617" customFormat="1" ht="15.75" hidden="1" customHeight="1">
      <c r="B25" s="2905" t="str">
        <f>C9</f>
        <v>FM 수수료 -2</v>
      </c>
      <c r="C25" s="2905"/>
      <c r="D25" s="2376"/>
      <c r="E25" s="2376"/>
      <c r="F25" s="2376"/>
      <c r="G25" s="2376"/>
      <c r="H25" s="2376"/>
      <c r="I25" s="2376"/>
      <c r="J25" s="2376"/>
      <c r="K25" s="2376"/>
      <c r="L25" s="2376"/>
      <c r="M25" s="2376"/>
      <c r="N25" s="2376"/>
      <c r="O25" s="2376"/>
      <c r="P25" s="2376"/>
      <c r="Q25" s="2376"/>
      <c r="R25" s="2376"/>
      <c r="S25" s="2376"/>
      <c r="T25" s="1616"/>
      <c r="U25" s="1616"/>
      <c r="V25" s="1600"/>
      <c r="W25" s="1600"/>
      <c r="X25" s="1600"/>
      <c r="Y25" s="1600"/>
      <c r="Z25" s="1600"/>
      <c r="AA25" s="1600"/>
      <c r="AB25" s="1600"/>
      <c r="AC25" s="1600"/>
      <c r="AD25" s="1600"/>
      <c r="AE25" s="1600"/>
      <c r="AF25" s="1600"/>
      <c r="AG25" s="1600"/>
      <c r="AH25" s="1600"/>
      <c r="AI25" s="1600"/>
      <c r="AJ25" s="1600"/>
      <c r="AK25" s="1600"/>
    </row>
    <row r="26" spans="2:39" s="1617" customFormat="1" ht="15.75" hidden="1" customHeight="1">
      <c r="B26" s="2905" t="str">
        <f>C10</f>
        <v>수도광열비</v>
      </c>
      <c r="C26" s="2905"/>
      <c r="D26" s="2376"/>
      <c r="E26" s="2376"/>
      <c r="F26" s="2376"/>
      <c r="G26" s="2376"/>
      <c r="H26" s="2376"/>
      <c r="I26" s="2376"/>
      <c r="J26" s="2376"/>
      <c r="K26" s="2376"/>
      <c r="L26" s="2376"/>
      <c r="M26" s="2376"/>
      <c r="N26" s="2376"/>
      <c r="O26" s="2376"/>
      <c r="P26" s="2376"/>
      <c r="Q26" s="2376"/>
      <c r="R26" s="2376"/>
      <c r="S26" s="2376"/>
      <c r="T26" s="1616"/>
      <c r="U26" s="1616"/>
      <c r="V26" s="1600"/>
      <c r="W26" s="1600"/>
      <c r="X26" s="1600"/>
      <c r="Y26" s="1600"/>
      <c r="Z26" s="1600"/>
      <c r="AA26" s="1600"/>
      <c r="AB26" s="1600"/>
      <c r="AC26" s="1600"/>
      <c r="AD26" s="1600"/>
      <c r="AE26" s="1600"/>
      <c r="AF26" s="1600"/>
      <c r="AG26" s="1600"/>
      <c r="AH26" s="1600"/>
      <c r="AI26" s="1600"/>
      <c r="AJ26" s="1600"/>
      <c r="AK26" s="1600"/>
    </row>
    <row r="27" spans="2:39" ht="15.95" customHeight="1">
      <c r="B27" s="2906" t="str">
        <f>C11</f>
        <v>보험료</v>
      </c>
      <c r="C27" s="2906"/>
      <c r="D27" s="2907"/>
      <c r="E27" s="2907"/>
      <c r="F27" s="2907"/>
      <c r="G27" s="2907"/>
      <c r="H27" s="2907"/>
      <c r="I27" s="2907"/>
      <c r="J27" s="2907"/>
      <c r="K27" s="2907"/>
      <c r="L27" s="2907"/>
      <c r="M27" s="2913"/>
      <c r="N27" s="2913"/>
      <c r="O27" s="2913"/>
      <c r="P27" s="2913"/>
      <c r="Q27" s="2913"/>
      <c r="R27" s="2913"/>
      <c r="S27" s="2913"/>
      <c r="T27" s="1618"/>
      <c r="U27" s="1618"/>
      <c r="V27" s="1600"/>
      <c r="W27" s="1600"/>
      <c r="X27" s="1600"/>
      <c r="Y27" s="1600"/>
      <c r="Z27" s="1600"/>
      <c r="AA27" s="1600"/>
      <c r="AB27" s="1600"/>
      <c r="AC27" s="1600"/>
      <c r="AD27" s="1600"/>
      <c r="AE27" s="1600"/>
      <c r="AF27" s="1600"/>
      <c r="AG27" s="1600"/>
      <c r="AH27" s="1600"/>
      <c r="AI27" s="1600"/>
      <c r="AJ27" s="1600"/>
      <c r="AK27" s="1600"/>
    </row>
    <row r="28" spans="2:39" s="1617" customFormat="1" ht="15.75" hidden="1" customHeight="1">
      <c r="B28" s="2905" t="str">
        <f>C12</f>
        <v>수선유지비</v>
      </c>
      <c r="C28" s="2905"/>
      <c r="D28" s="2376"/>
      <c r="E28" s="2376"/>
      <c r="F28" s="2376"/>
      <c r="G28" s="2376"/>
      <c r="H28" s="2376"/>
      <c r="I28" s="2376"/>
      <c r="J28" s="2376"/>
      <c r="K28" s="2376"/>
      <c r="L28" s="2376"/>
      <c r="M28" s="2376"/>
      <c r="N28" s="2376"/>
      <c r="O28" s="2376"/>
      <c r="P28" s="2376"/>
      <c r="Q28" s="2376"/>
      <c r="R28" s="2376"/>
      <c r="S28" s="2376"/>
      <c r="T28" s="1616"/>
      <c r="U28" s="1616"/>
      <c r="V28" s="1600"/>
      <c r="W28" s="1600"/>
      <c r="X28" s="1600"/>
      <c r="Y28" s="1600"/>
      <c r="Z28" s="1600"/>
      <c r="AA28" s="1600"/>
      <c r="AB28" s="1600"/>
      <c r="AC28" s="1600"/>
      <c r="AD28" s="1600"/>
      <c r="AE28" s="1600"/>
      <c r="AF28" s="1600"/>
      <c r="AG28" s="1600"/>
      <c r="AH28" s="1600"/>
      <c r="AI28" s="1600"/>
      <c r="AJ28" s="1600"/>
      <c r="AK28" s="1600"/>
    </row>
    <row r="29" spans="2:39" ht="15.95" customHeight="1">
      <c r="B29" s="2906" t="str">
        <f>C13</f>
        <v>(장기수선충당금)</v>
      </c>
      <c r="C29" s="2906"/>
      <c r="D29" s="2907"/>
      <c r="E29" s="2907"/>
      <c r="F29" s="2907"/>
      <c r="G29" s="2907"/>
      <c r="H29" s="2907"/>
      <c r="I29" s="2907"/>
      <c r="J29" s="2907"/>
      <c r="K29" s="2907"/>
      <c r="L29" s="2907"/>
      <c r="M29" s="2907"/>
      <c r="N29" s="2907"/>
      <c r="O29" s="2907"/>
      <c r="P29" s="2907"/>
      <c r="Q29" s="2907"/>
      <c r="R29" s="2907"/>
      <c r="S29" s="2907"/>
      <c r="T29" s="1603"/>
      <c r="U29" s="1603"/>
      <c r="V29" s="1600"/>
      <c r="W29" s="1600"/>
      <c r="X29" s="1600"/>
      <c r="Y29" s="1600"/>
      <c r="Z29" s="1600"/>
      <c r="AA29" s="1600"/>
      <c r="AB29" s="1600"/>
      <c r="AC29" s="1600"/>
      <c r="AD29" s="1600"/>
      <c r="AE29" s="1600"/>
      <c r="AF29" s="1600"/>
      <c r="AG29" s="1600"/>
      <c r="AH29" s="1600"/>
      <c r="AI29" s="1600"/>
      <c r="AJ29" s="1600"/>
      <c r="AK29" s="1600"/>
    </row>
    <row r="30" spans="2:39" s="1606" customFormat="1" ht="15.95" customHeight="1">
      <c r="B30" s="2908" t="s">
        <v>267</v>
      </c>
      <c r="C30" s="2908"/>
      <c r="D30" s="2907" t="s">
        <v>1694</v>
      </c>
      <c r="E30" s="2907"/>
      <c r="F30" s="2907"/>
      <c r="G30" s="2907"/>
      <c r="H30" s="2907"/>
      <c r="I30" s="2907"/>
      <c r="J30" s="2907"/>
      <c r="K30" s="2907"/>
      <c r="L30" s="2907"/>
      <c r="M30" s="2909"/>
      <c r="N30" s="2909"/>
      <c r="O30" s="2909"/>
      <c r="P30" s="2909"/>
      <c r="Q30" s="2909"/>
      <c r="R30" s="2909"/>
      <c r="S30" s="2909"/>
      <c r="T30" s="1615"/>
      <c r="U30" s="1619"/>
      <c r="V30" s="1600"/>
      <c r="W30" s="1600"/>
      <c r="X30" s="1600"/>
      <c r="Y30" s="1600"/>
      <c r="Z30" s="1600"/>
      <c r="AA30" s="1600"/>
      <c r="AB30" s="1600"/>
      <c r="AC30" s="1600"/>
      <c r="AD30" s="1600"/>
      <c r="AE30" s="1600"/>
      <c r="AF30" s="1600"/>
      <c r="AG30" s="1600"/>
      <c r="AH30" s="1600"/>
      <c r="AI30" s="1600"/>
      <c r="AJ30" s="1600"/>
      <c r="AK30" s="1600"/>
    </row>
    <row r="31" spans="2:39" s="1617" customFormat="1" ht="15.95" hidden="1" customHeight="1">
      <c r="B31" s="2891" t="str">
        <f>C15</f>
        <v>교통유발부담금</v>
      </c>
      <c r="C31" s="2892"/>
      <c r="D31" s="2893"/>
      <c r="E31" s="2893"/>
      <c r="F31" s="2893"/>
      <c r="G31" s="2893"/>
      <c r="H31" s="2893"/>
      <c r="I31" s="2893"/>
      <c r="J31" s="2893"/>
      <c r="K31" s="2893"/>
      <c r="L31" s="2893"/>
      <c r="M31" s="2893"/>
      <c r="N31" s="2893"/>
      <c r="O31" s="2893"/>
      <c r="P31" s="2893"/>
      <c r="Q31" s="2894"/>
      <c r="R31" s="2893"/>
      <c r="S31" s="2893"/>
      <c r="T31" s="2895"/>
      <c r="U31" s="2893"/>
      <c r="V31" s="2893"/>
      <c r="W31" s="2896"/>
      <c r="X31" s="1600"/>
      <c r="Y31" s="1600"/>
      <c r="Z31" s="1600"/>
      <c r="AA31" s="1600"/>
      <c r="AB31" s="1600"/>
      <c r="AC31" s="1600"/>
      <c r="AD31" s="1600"/>
      <c r="AE31" s="1600"/>
      <c r="AF31" s="1600"/>
      <c r="AG31" s="1600"/>
      <c r="AH31" s="1600"/>
      <c r="AI31" s="1600"/>
      <c r="AJ31" s="1600"/>
      <c r="AK31" s="1600"/>
      <c r="AL31" s="1600"/>
      <c r="AM31" s="1600"/>
    </row>
    <row r="32" spans="2:39" s="1617" customFormat="1" ht="15.95" hidden="1" customHeight="1">
      <c r="B32" s="2897" t="str">
        <f>C16</f>
        <v>재산세</v>
      </c>
      <c r="C32" s="2898"/>
      <c r="D32" s="2899"/>
      <c r="E32" s="2899"/>
      <c r="F32" s="2899"/>
      <c r="G32" s="2899"/>
      <c r="H32" s="2899"/>
      <c r="I32" s="2899"/>
      <c r="J32" s="2899"/>
      <c r="K32" s="2899"/>
      <c r="L32" s="2899"/>
      <c r="M32" s="2899"/>
      <c r="N32" s="2899"/>
      <c r="O32" s="2899"/>
      <c r="P32" s="2899"/>
      <c r="Q32" s="2900"/>
      <c r="R32" s="2899"/>
      <c r="S32" s="2899"/>
      <c r="T32" s="2901"/>
      <c r="U32" s="2899"/>
      <c r="V32" s="2902"/>
      <c r="W32" s="2903"/>
      <c r="X32" s="1600"/>
      <c r="Y32" s="1600"/>
      <c r="Z32" s="1600"/>
      <c r="AA32" s="1600"/>
      <c r="AB32" s="1600"/>
      <c r="AC32" s="1600"/>
      <c r="AD32" s="1600"/>
      <c r="AE32" s="1600"/>
      <c r="AF32" s="1600"/>
      <c r="AG32" s="1600"/>
      <c r="AH32" s="1600"/>
      <c r="AI32" s="1600"/>
      <c r="AJ32" s="1600"/>
      <c r="AK32" s="1600"/>
      <c r="AL32" s="1600"/>
      <c r="AM32" s="1600"/>
    </row>
    <row r="33" spans="2:39" ht="15" customHeight="1">
      <c r="B33" s="1620"/>
      <c r="C33" s="1620"/>
      <c r="D33" s="1612"/>
      <c r="E33" s="1612"/>
      <c r="F33" s="1612"/>
      <c r="G33" s="1612"/>
      <c r="H33" s="1612"/>
      <c r="I33" s="1612"/>
      <c r="J33" s="1612"/>
      <c r="K33" s="1612"/>
      <c r="L33" s="1612"/>
      <c r="M33" s="1612"/>
      <c r="N33" s="1612"/>
      <c r="O33" s="1612"/>
      <c r="P33" s="1612"/>
      <c r="Q33" s="1612"/>
      <c r="R33" s="1612"/>
      <c r="S33" s="1612"/>
      <c r="T33" s="1612"/>
      <c r="U33" s="1612"/>
      <c r="V33" s="1612"/>
      <c r="W33" s="1612"/>
      <c r="X33" s="1600"/>
      <c r="Y33" s="1600"/>
      <c r="Z33" s="1600"/>
      <c r="AA33" s="1600"/>
      <c r="AB33" s="1600"/>
      <c r="AC33" s="1600"/>
      <c r="AD33" s="1600"/>
      <c r="AE33" s="1600"/>
      <c r="AF33" s="1600"/>
      <c r="AG33" s="1600"/>
      <c r="AH33" s="1600"/>
      <c r="AI33" s="1600"/>
      <c r="AJ33" s="1600"/>
      <c r="AK33" s="1600"/>
      <c r="AL33" s="1600"/>
      <c r="AM33" s="1600"/>
    </row>
    <row r="34" spans="2:39" ht="15.95" customHeight="1">
      <c r="X34" s="1600"/>
      <c r="Y34" s="1600"/>
      <c r="Z34" s="1600"/>
      <c r="AA34" s="1600"/>
      <c r="AB34" s="1600"/>
      <c r="AC34" s="1600"/>
      <c r="AD34" s="1600"/>
      <c r="AE34" s="1600"/>
      <c r="AF34" s="1600"/>
      <c r="AG34" s="1600"/>
      <c r="AH34" s="1600"/>
      <c r="AI34" s="1600"/>
      <c r="AJ34" s="1600"/>
      <c r="AK34" s="1600"/>
      <c r="AL34" s="1600"/>
      <c r="AM34" s="1600"/>
    </row>
    <row r="35" spans="2:39" ht="15.95" customHeight="1">
      <c r="B35" s="2904" t="s">
        <v>2087</v>
      </c>
      <c r="C35" s="2904"/>
      <c r="S35" s="1621" t="s">
        <v>303</v>
      </c>
      <c r="T35" s="1621"/>
      <c r="V35" s="1621"/>
      <c r="X35" s="1600"/>
      <c r="Y35" s="1600"/>
      <c r="Z35" s="1600"/>
      <c r="AA35" s="1600"/>
      <c r="AB35" s="1600"/>
      <c r="AC35" s="1600"/>
      <c r="AD35" s="1600"/>
      <c r="AE35" s="1600"/>
      <c r="AF35" s="1600"/>
      <c r="AG35" s="1600"/>
      <c r="AH35" s="1600"/>
      <c r="AI35" s="1600"/>
      <c r="AJ35" s="1600"/>
      <c r="AK35" s="1600"/>
      <c r="AL35" s="1600"/>
      <c r="AM35" s="1600"/>
    </row>
    <row r="36" spans="2:39" s="1623" customFormat="1" ht="25.15" customHeight="1">
      <c r="B36" s="2407" t="s">
        <v>304</v>
      </c>
      <c r="C36" s="2407" t="s">
        <v>305</v>
      </c>
      <c r="D36" s="2409">
        <v>2023.06</v>
      </c>
      <c r="E36" s="2409">
        <v>2023.07</v>
      </c>
      <c r="F36" s="2409">
        <v>2023.08</v>
      </c>
      <c r="G36" s="2409">
        <v>2023.09</v>
      </c>
      <c r="H36" s="2409" t="s">
        <v>512</v>
      </c>
      <c r="I36" s="2409" t="s">
        <v>516</v>
      </c>
      <c r="J36" s="2409" t="s">
        <v>554</v>
      </c>
      <c r="K36" s="2409" t="s">
        <v>555</v>
      </c>
      <c r="L36" s="2407" t="s">
        <v>1104</v>
      </c>
      <c r="M36" s="2407" t="s">
        <v>923</v>
      </c>
      <c r="N36" s="2407" t="s">
        <v>922</v>
      </c>
      <c r="O36" s="2407" t="s">
        <v>1689</v>
      </c>
      <c r="P36" s="2407" t="s">
        <v>2030</v>
      </c>
      <c r="Q36" s="2407" t="s">
        <v>2147</v>
      </c>
      <c r="R36" s="2883" t="s">
        <v>1105</v>
      </c>
      <c r="S36" s="2883"/>
      <c r="T36" s="1622"/>
      <c r="U36" s="1006" t="s">
        <v>509</v>
      </c>
      <c r="V36" s="1600"/>
      <c r="W36" s="957"/>
      <c r="X36" s="1600"/>
      <c r="Y36" s="1600"/>
      <c r="Z36" s="1600"/>
      <c r="AA36" s="1600"/>
      <c r="AB36" s="1600"/>
      <c r="AC36" s="1600"/>
      <c r="AD36" s="1600"/>
      <c r="AE36" s="1600"/>
      <c r="AF36" s="1600"/>
      <c r="AG36" s="1600"/>
      <c r="AH36" s="1600"/>
      <c r="AI36" s="1600"/>
      <c r="AJ36" s="1600"/>
      <c r="AK36" s="1600"/>
    </row>
    <row r="37" spans="2:39" s="1600" customFormat="1" ht="15.95" customHeight="1">
      <c r="B37" s="2377" t="s">
        <v>306</v>
      </c>
      <c r="C37" s="2377" t="s">
        <v>307</v>
      </c>
      <c r="D37" s="2378"/>
      <c r="E37" s="2378"/>
      <c r="F37" s="2378"/>
      <c r="G37" s="2378"/>
      <c r="H37" s="2378"/>
      <c r="I37" s="2378"/>
      <c r="J37" s="2378"/>
      <c r="K37" s="2378"/>
      <c r="L37" s="2378"/>
      <c r="M37" s="2378"/>
      <c r="N37" s="2378"/>
      <c r="O37" s="2378"/>
      <c r="P37" s="2378"/>
      <c r="Q37" s="2378"/>
      <c r="R37" s="2888" t="s">
        <v>1106</v>
      </c>
      <c r="S37" s="2888"/>
      <c r="T37" s="1624"/>
      <c r="U37" s="1624"/>
    </row>
    <row r="38" spans="2:39" s="1600" customFormat="1" ht="15.95" customHeight="1">
      <c r="B38" s="2377" t="s">
        <v>308</v>
      </c>
      <c r="C38" s="2377" t="s">
        <v>309</v>
      </c>
      <c r="D38" s="2378"/>
      <c r="E38" s="2378">
        <v>360353150</v>
      </c>
      <c r="F38" s="2378"/>
      <c r="G38" s="2378"/>
      <c r="H38" s="2378"/>
      <c r="I38" s="2378"/>
      <c r="J38" s="2378"/>
      <c r="K38" s="2378"/>
      <c r="L38" s="2378"/>
      <c r="M38" s="2378"/>
      <c r="N38" s="2378"/>
      <c r="O38" s="2378"/>
      <c r="P38" s="2378"/>
      <c r="Q38" s="2378">
        <v>387039790</v>
      </c>
      <c r="R38" s="2888" t="s">
        <v>1107</v>
      </c>
      <c r="S38" s="2888"/>
      <c r="T38" s="1624"/>
      <c r="U38" s="1624"/>
    </row>
    <row r="39" spans="2:39" s="1600" customFormat="1" ht="15.95" customHeight="1">
      <c r="B39" s="2377" t="s">
        <v>308</v>
      </c>
      <c r="C39" s="2377" t="s">
        <v>310</v>
      </c>
      <c r="D39" s="2378"/>
      <c r="E39" s="2378"/>
      <c r="F39" s="2378"/>
      <c r="G39" s="2378">
        <v>174451550</v>
      </c>
      <c r="H39" s="2378"/>
      <c r="I39" s="2378"/>
      <c r="J39" s="2378">
        <v>35671070</v>
      </c>
      <c r="K39" s="2378"/>
      <c r="L39" s="2378"/>
      <c r="M39" s="2378"/>
      <c r="N39" s="2378"/>
      <c r="O39" s="2378"/>
      <c r="P39" s="2378"/>
      <c r="Q39" s="2378"/>
      <c r="R39" s="2888" t="s">
        <v>513</v>
      </c>
      <c r="S39" s="2888"/>
      <c r="T39" s="1624"/>
      <c r="U39" s="1624"/>
    </row>
    <row r="40" spans="2:39" s="1600" customFormat="1" ht="15.95" customHeight="1">
      <c r="B40" s="2377" t="s">
        <v>308</v>
      </c>
      <c r="C40" s="2377" t="s">
        <v>311</v>
      </c>
      <c r="D40" s="2379"/>
      <c r="E40" s="2379"/>
      <c r="F40" s="2379"/>
      <c r="G40" s="2379"/>
      <c r="H40" s="2379">
        <v>213056660</v>
      </c>
      <c r="I40" s="2379"/>
      <c r="J40" s="2379"/>
      <c r="K40" s="2379"/>
      <c r="L40" s="2379"/>
      <c r="M40" s="2379"/>
      <c r="N40" s="2379"/>
      <c r="O40" s="2379"/>
      <c r="P40" s="2379"/>
      <c r="Q40" s="2379"/>
      <c r="R40" s="2888" t="s">
        <v>1108</v>
      </c>
      <c r="S40" s="2888"/>
      <c r="T40" s="1624"/>
      <c r="U40" s="1624"/>
    </row>
    <row r="41" spans="2:39" s="1600" customFormat="1" ht="15.95" customHeight="1">
      <c r="B41" s="2380" t="s">
        <v>312</v>
      </c>
      <c r="C41" s="2380"/>
      <c r="D41" s="2381">
        <f t="shared" ref="D41:N41" si="1">SUM(D37:D40)</f>
        <v>0</v>
      </c>
      <c r="E41" s="2381">
        <f t="shared" si="1"/>
        <v>360353150</v>
      </c>
      <c r="F41" s="2381">
        <f t="shared" si="1"/>
        <v>0</v>
      </c>
      <c r="G41" s="2381">
        <f t="shared" si="1"/>
        <v>174451550</v>
      </c>
      <c r="H41" s="2381">
        <f t="shared" si="1"/>
        <v>213056660</v>
      </c>
      <c r="I41" s="2381">
        <f t="shared" si="1"/>
        <v>0</v>
      </c>
      <c r="J41" s="2381">
        <f t="shared" si="1"/>
        <v>35671070</v>
      </c>
      <c r="K41" s="2381">
        <f t="shared" si="1"/>
        <v>0</v>
      </c>
      <c r="L41" s="2381">
        <f t="shared" si="1"/>
        <v>0</v>
      </c>
      <c r="M41" s="2381">
        <f t="shared" si="1"/>
        <v>0</v>
      </c>
      <c r="N41" s="2381">
        <f t="shared" si="1"/>
        <v>0</v>
      </c>
      <c r="O41" s="2381">
        <f t="shared" ref="O41:Q41" si="2">SUM(O37:O40)</f>
        <v>0</v>
      </c>
      <c r="P41" s="2381">
        <f t="shared" ref="P41" si="3">SUM(P37:P40)</f>
        <v>0</v>
      </c>
      <c r="Q41" s="2381">
        <f t="shared" si="2"/>
        <v>387039790</v>
      </c>
      <c r="R41" s="2889"/>
      <c r="S41" s="2889"/>
      <c r="T41" s="1625"/>
      <c r="U41" s="1625"/>
    </row>
    <row r="42" spans="2:39" s="1600" customFormat="1" ht="15.95" customHeight="1">
      <c r="B42" s="1626"/>
      <c r="C42" s="1626"/>
      <c r="D42" s="1627"/>
      <c r="E42" s="1627"/>
      <c r="F42" s="1627"/>
      <c r="G42" s="1627"/>
      <c r="H42" s="1627"/>
      <c r="I42" s="1627"/>
      <c r="J42" s="1627"/>
      <c r="K42" s="1627"/>
      <c r="L42" s="1627"/>
      <c r="M42" s="1627"/>
      <c r="N42" s="1627"/>
      <c r="O42" s="1627"/>
      <c r="P42" s="1627"/>
      <c r="Q42" s="1627"/>
      <c r="R42" s="1627"/>
      <c r="S42" s="1627"/>
      <c r="T42" s="1627"/>
      <c r="U42" s="1627"/>
      <c r="V42" s="1627"/>
      <c r="W42" s="1628"/>
    </row>
    <row r="43" spans="2:39" ht="15.95" customHeight="1">
      <c r="B43" s="2890" t="s">
        <v>313</v>
      </c>
      <c r="C43" s="2890"/>
      <c r="S43" s="1621" t="s">
        <v>303</v>
      </c>
      <c r="T43" s="1621"/>
      <c r="V43" s="1621"/>
    </row>
    <row r="44" spans="2:39" s="1623" customFormat="1" ht="28.15" customHeight="1">
      <c r="B44" s="2407" t="s">
        <v>314</v>
      </c>
      <c r="C44" s="2407" t="s">
        <v>305</v>
      </c>
      <c r="D44" s="2408">
        <v>2023.06</v>
      </c>
      <c r="E44" s="2408">
        <v>2023.07</v>
      </c>
      <c r="F44" s="2408">
        <v>2023.08</v>
      </c>
      <c r="G44" s="2408">
        <v>2023.09</v>
      </c>
      <c r="H44" s="2408">
        <v>2023.1</v>
      </c>
      <c r="I44" s="2408">
        <v>2023.11</v>
      </c>
      <c r="J44" s="2408">
        <v>2023.12</v>
      </c>
      <c r="K44" s="2409">
        <v>2024.01</v>
      </c>
      <c r="L44" s="2409">
        <v>2024.02</v>
      </c>
      <c r="M44" s="2409">
        <v>2024.03</v>
      </c>
      <c r="N44" s="2407" t="s">
        <v>922</v>
      </c>
      <c r="O44" s="2407" t="s">
        <v>1689</v>
      </c>
      <c r="P44" s="2407" t="s">
        <v>2030</v>
      </c>
      <c r="Q44" s="2407" t="s">
        <v>2148</v>
      </c>
      <c r="R44" s="2883" t="s">
        <v>1109</v>
      </c>
      <c r="S44" s="2883"/>
      <c r="T44" s="1622"/>
      <c r="U44" s="1006" t="s">
        <v>509</v>
      </c>
      <c r="W44" s="2884" t="s">
        <v>558</v>
      </c>
      <c r="X44" s="2884"/>
      <c r="Y44" s="2884"/>
    </row>
    <row r="45" spans="2:39" s="1630" customFormat="1" ht="15.95" customHeight="1">
      <c r="B45" s="2885" t="str">
        <f>C6</f>
        <v>PM 수수료</v>
      </c>
      <c r="C45" s="2382" t="s">
        <v>315</v>
      </c>
      <c r="D45" s="2383">
        <v>28160820</v>
      </c>
      <c r="E45" s="2383">
        <v>28160820</v>
      </c>
      <c r="F45" s="2383">
        <v>28160820</v>
      </c>
      <c r="G45" s="2383">
        <v>28357910</v>
      </c>
      <c r="H45" s="2383">
        <v>28442430</v>
      </c>
      <c r="I45" s="2383">
        <v>28442430</v>
      </c>
      <c r="J45" s="2383">
        <v>28442430</v>
      </c>
      <c r="K45" s="2383">
        <v>28442430</v>
      </c>
      <c r="L45" s="2383">
        <v>28442430</v>
      </c>
      <c r="M45" s="2383">
        <v>28442430</v>
      </c>
      <c r="N45" s="2383">
        <v>28442430</v>
      </c>
      <c r="O45" s="2383">
        <v>28442430</v>
      </c>
      <c r="P45" s="2379">
        <v>28442430</v>
      </c>
      <c r="Q45" s="2379">
        <v>0</v>
      </c>
      <c r="R45" s="2881" t="s">
        <v>2154</v>
      </c>
      <c r="S45" s="2881"/>
      <c r="T45" s="1629"/>
      <c r="U45" s="1629"/>
      <c r="W45" s="2884"/>
      <c r="X45" s="2884"/>
      <c r="Y45" s="2884"/>
    </row>
    <row r="46" spans="2:39" s="1630" customFormat="1" ht="15.95" customHeight="1">
      <c r="B46" s="2885"/>
      <c r="C46" s="2384" t="s">
        <v>312</v>
      </c>
      <c r="D46" s="2385">
        <f t="shared" ref="D46:L46" si="4">D45</f>
        <v>28160820</v>
      </c>
      <c r="E46" s="2385">
        <f t="shared" si="4"/>
        <v>28160820</v>
      </c>
      <c r="F46" s="2385">
        <f t="shared" si="4"/>
        <v>28160820</v>
      </c>
      <c r="G46" s="2385">
        <f t="shared" si="4"/>
        <v>28357910</v>
      </c>
      <c r="H46" s="2385">
        <f t="shared" si="4"/>
        <v>28442430</v>
      </c>
      <c r="I46" s="2385">
        <f t="shared" si="4"/>
        <v>28442430</v>
      </c>
      <c r="J46" s="2385">
        <f t="shared" si="4"/>
        <v>28442430</v>
      </c>
      <c r="K46" s="2385">
        <f t="shared" si="4"/>
        <v>28442430</v>
      </c>
      <c r="L46" s="2385">
        <f t="shared" si="4"/>
        <v>28442430</v>
      </c>
      <c r="M46" s="2385">
        <f>M45</f>
        <v>28442430</v>
      </c>
      <c r="N46" s="2385">
        <f>N45</f>
        <v>28442430</v>
      </c>
      <c r="O46" s="2385">
        <f>O45</f>
        <v>28442430</v>
      </c>
      <c r="P46" s="2386">
        <f>P45</f>
        <v>28442430</v>
      </c>
      <c r="Q46" s="2386">
        <f>Q45</f>
        <v>0</v>
      </c>
      <c r="R46" s="2886"/>
      <c r="S46" s="2886"/>
      <c r="T46" s="1631"/>
      <c r="U46" s="1631"/>
    </row>
    <row r="47" spans="2:39" ht="15.95" customHeight="1">
      <c r="B47" s="2887" t="str">
        <f>C7</f>
        <v>FM 수수료</v>
      </c>
      <c r="C47" s="2387" t="s">
        <v>316</v>
      </c>
      <c r="D47" s="2383">
        <v>94885000</v>
      </c>
      <c r="E47" s="2383">
        <v>94885000</v>
      </c>
      <c r="F47" s="2383">
        <v>99590000</v>
      </c>
      <c r="G47" s="2383">
        <v>99590000</v>
      </c>
      <c r="H47" s="2383">
        <v>99590000</v>
      </c>
      <c r="I47" s="2383">
        <v>99590000</v>
      </c>
      <c r="J47" s="2383">
        <v>99590000</v>
      </c>
      <c r="K47" s="2383">
        <v>99590000</v>
      </c>
      <c r="L47" s="2383">
        <v>99590000</v>
      </c>
      <c r="M47" s="2383">
        <v>99590000</v>
      </c>
      <c r="N47" s="2383">
        <v>106565400</v>
      </c>
      <c r="O47" s="2383">
        <v>103577700</v>
      </c>
      <c r="P47" s="2379">
        <v>103577700</v>
      </c>
      <c r="Q47" s="2379">
        <v>0</v>
      </c>
      <c r="R47" s="2881" t="s">
        <v>2154</v>
      </c>
      <c r="S47" s="2881"/>
      <c r="T47" s="1632"/>
      <c r="U47" s="1629"/>
    </row>
    <row r="48" spans="2:39" ht="15.95" customHeight="1">
      <c r="B48" s="2887"/>
      <c r="C48" s="2388" t="s">
        <v>312</v>
      </c>
      <c r="D48" s="2385">
        <f t="shared" ref="D48:L48" si="5">D47</f>
        <v>94885000</v>
      </c>
      <c r="E48" s="2385">
        <f t="shared" si="5"/>
        <v>94885000</v>
      </c>
      <c r="F48" s="2385">
        <f t="shared" si="5"/>
        <v>99590000</v>
      </c>
      <c r="G48" s="2385">
        <f t="shared" si="5"/>
        <v>99590000</v>
      </c>
      <c r="H48" s="2385">
        <f t="shared" si="5"/>
        <v>99590000</v>
      </c>
      <c r="I48" s="2385">
        <f t="shared" si="5"/>
        <v>99590000</v>
      </c>
      <c r="J48" s="2385">
        <f t="shared" si="5"/>
        <v>99590000</v>
      </c>
      <c r="K48" s="2385">
        <f t="shared" si="5"/>
        <v>99590000</v>
      </c>
      <c r="L48" s="2385">
        <f t="shared" si="5"/>
        <v>99590000</v>
      </c>
      <c r="M48" s="2385">
        <f>M47</f>
        <v>99590000</v>
      </c>
      <c r="N48" s="2385">
        <f>N47</f>
        <v>106565400</v>
      </c>
      <c r="O48" s="2385">
        <f>O47</f>
        <v>103577700</v>
      </c>
      <c r="P48" s="2385">
        <f>P47</f>
        <v>103577700</v>
      </c>
      <c r="Q48" s="2386">
        <f>Q47</f>
        <v>0</v>
      </c>
      <c r="R48" s="2886"/>
      <c r="S48" s="2886"/>
      <c r="T48" s="1631"/>
      <c r="U48" s="1631"/>
    </row>
    <row r="49" spans="2:27" ht="15.95" customHeight="1">
      <c r="B49" s="2880" t="s">
        <v>266</v>
      </c>
      <c r="C49" s="2389" t="s">
        <v>317</v>
      </c>
      <c r="D49" s="2383">
        <v>17503920</v>
      </c>
      <c r="E49" s="2383">
        <v>17503920</v>
      </c>
      <c r="F49" s="2383">
        <v>17503920</v>
      </c>
      <c r="G49" s="2383">
        <v>17503920</v>
      </c>
      <c r="H49" s="2383">
        <v>17503920</v>
      </c>
      <c r="I49" s="2383">
        <v>17503920</v>
      </c>
      <c r="J49" s="2383">
        <v>17503920</v>
      </c>
      <c r="K49" s="2383">
        <v>18116557</v>
      </c>
      <c r="L49" s="2383">
        <v>18116557</v>
      </c>
      <c r="M49" s="2390">
        <v>18116557</v>
      </c>
      <c r="N49" s="2390">
        <v>18116557</v>
      </c>
      <c r="O49" s="2390">
        <v>18116557</v>
      </c>
      <c r="P49" s="2391">
        <v>18116557</v>
      </c>
      <c r="Q49" s="2391">
        <v>18116557</v>
      </c>
      <c r="R49" s="2875"/>
      <c r="S49" s="2875"/>
      <c r="T49" s="1629"/>
      <c r="U49" s="1629"/>
      <c r="V49" s="2882" t="s">
        <v>510</v>
      </c>
      <c r="W49" s="2882"/>
      <c r="X49" s="2882"/>
      <c r="Y49" s="2882"/>
      <c r="Z49" s="2882"/>
      <c r="AA49" s="2882"/>
    </row>
    <row r="50" spans="2:27" ht="15.95" customHeight="1">
      <c r="B50" s="2880"/>
      <c r="C50" s="2389" t="s">
        <v>318</v>
      </c>
      <c r="D50" s="2383">
        <v>1340940</v>
      </c>
      <c r="E50" s="2383">
        <v>1340940</v>
      </c>
      <c r="F50" s="2383">
        <v>1340940</v>
      </c>
      <c r="G50" s="2383">
        <v>1340940</v>
      </c>
      <c r="H50" s="2383">
        <v>1340940</v>
      </c>
      <c r="I50" s="2383">
        <v>1340940</v>
      </c>
      <c r="J50" s="2383">
        <v>1340940</v>
      </c>
      <c r="K50" s="2383">
        <v>1387873</v>
      </c>
      <c r="L50" s="2383">
        <v>1387873</v>
      </c>
      <c r="M50" s="2390">
        <v>1387873</v>
      </c>
      <c r="N50" s="2390">
        <v>1387873</v>
      </c>
      <c r="O50" s="2390">
        <v>1387873</v>
      </c>
      <c r="P50" s="2391">
        <v>1387873</v>
      </c>
      <c r="Q50" s="2391">
        <v>1387873</v>
      </c>
      <c r="R50" s="2875"/>
      <c r="S50" s="2875"/>
      <c r="T50" s="1629"/>
      <c r="U50" s="1629"/>
      <c r="V50" s="2882"/>
      <c r="W50" s="2882"/>
      <c r="X50" s="2882"/>
      <c r="Y50" s="2882"/>
      <c r="Z50" s="2882"/>
      <c r="AA50" s="2882"/>
    </row>
    <row r="51" spans="2:27" ht="15.95" customHeight="1">
      <c r="B51" s="2880"/>
      <c r="C51" s="2389" t="s">
        <v>319</v>
      </c>
      <c r="D51" s="2383">
        <v>1800000</v>
      </c>
      <c r="E51" s="2383">
        <v>1800000</v>
      </c>
      <c r="F51" s="2383">
        <v>1800000</v>
      </c>
      <c r="G51" s="2383">
        <v>1800000</v>
      </c>
      <c r="H51" s="2383">
        <v>1800000</v>
      </c>
      <c r="I51" s="2383">
        <v>1800000</v>
      </c>
      <c r="J51" s="2383">
        <v>1800000</v>
      </c>
      <c r="K51" s="2383">
        <v>1863000</v>
      </c>
      <c r="L51" s="2383">
        <v>1863000</v>
      </c>
      <c r="M51" s="2390">
        <v>1863000</v>
      </c>
      <c r="N51" s="2390">
        <v>1863000</v>
      </c>
      <c r="O51" s="2390">
        <v>1863000</v>
      </c>
      <c r="P51" s="2391">
        <v>1863000</v>
      </c>
      <c r="Q51" s="2391">
        <v>1863000</v>
      </c>
      <c r="R51" s="2875"/>
      <c r="S51" s="2875"/>
      <c r="T51" s="1629"/>
      <c r="U51" s="1629"/>
      <c r="V51" s="2882"/>
      <c r="W51" s="2882"/>
      <c r="X51" s="2882"/>
      <c r="Y51" s="2882"/>
      <c r="Z51" s="2882"/>
      <c r="AA51" s="2882"/>
    </row>
    <row r="52" spans="2:27" ht="15.95" customHeight="1">
      <c r="B52" s="2880"/>
      <c r="C52" s="2389" t="s">
        <v>320</v>
      </c>
      <c r="D52" s="2383">
        <v>540000</v>
      </c>
      <c r="E52" s="2383">
        <v>540000</v>
      </c>
      <c r="F52" s="2383">
        <v>540000</v>
      </c>
      <c r="G52" s="2383">
        <v>540000</v>
      </c>
      <c r="H52" s="2383">
        <v>540000</v>
      </c>
      <c r="I52" s="2383">
        <v>540000</v>
      </c>
      <c r="J52" s="2383">
        <v>540000</v>
      </c>
      <c r="K52" s="2383">
        <v>558900</v>
      </c>
      <c r="L52" s="2383">
        <v>558900</v>
      </c>
      <c r="M52" s="2390">
        <v>558900</v>
      </c>
      <c r="N52" s="2390">
        <v>558900</v>
      </c>
      <c r="O52" s="2390">
        <v>558900</v>
      </c>
      <c r="P52" s="2391">
        <v>558900</v>
      </c>
      <c r="Q52" s="2391">
        <v>558900</v>
      </c>
      <c r="R52" s="2875"/>
      <c r="S52" s="2875"/>
      <c r="T52" s="1629"/>
      <c r="U52" s="1629"/>
    </row>
    <row r="53" spans="2:27" ht="15.95" customHeight="1">
      <c r="B53" s="2880"/>
      <c r="C53" s="2389" t="s">
        <v>321</v>
      </c>
      <c r="D53" s="2383">
        <v>360000</v>
      </c>
      <c r="E53" s="2383">
        <v>360000</v>
      </c>
      <c r="F53" s="2383">
        <v>360000</v>
      </c>
      <c r="G53" s="2383">
        <v>360000</v>
      </c>
      <c r="H53" s="2383">
        <v>360000</v>
      </c>
      <c r="I53" s="2383">
        <v>360000</v>
      </c>
      <c r="J53" s="2383">
        <v>360000</v>
      </c>
      <c r="K53" s="2383">
        <v>372600</v>
      </c>
      <c r="L53" s="2383">
        <v>372600</v>
      </c>
      <c r="M53" s="2390">
        <v>372600</v>
      </c>
      <c r="N53" s="2390">
        <v>372600</v>
      </c>
      <c r="O53" s="2390">
        <v>372600</v>
      </c>
      <c r="P53" s="2391">
        <v>372600</v>
      </c>
      <c r="Q53" s="2391">
        <v>372600</v>
      </c>
      <c r="R53" s="2875"/>
      <c r="S53" s="2875"/>
      <c r="T53" s="1629"/>
      <c r="U53" s="1629"/>
    </row>
    <row r="54" spans="2:27" ht="15.95" customHeight="1">
      <c r="B54" s="2880"/>
      <c r="C54" s="2389" t="s">
        <v>322</v>
      </c>
      <c r="D54" s="2383">
        <v>15113574</v>
      </c>
      <c r="E54" s="2383">
        <v>14230898</v>
      </c>
      <c r="F54" s="2383">
        <v>10594152</v>
      </c>
      <c r="G54" s="2383">
        <v>11481262</v>
      </c>
      <c r="H54" s="2383">
        <v>14169687</v>
      </c>
      <c r="I54" s="2383">
        <v>14718685</v>
      </c>
      <c r="J54" s="2383">
        <v>13893120</v>
      </c>
      <c r="K54" s="2383">
        <v>16034802</v>
      </c>
      <c r="L54" s="2383">
        <v>15234846</v>
      </c>
      <c r="M54" s="2383">
        <v>16379589</v>
      </c>
      <c r="N54" s="2383">
        <v>14681610</v>
      </c>
      <c r="O54" s="2383">
        <v>13921325</v>
      </c>
      <c r="P54" s="2379">
        <v>26557938</v>
      </c>
      <c r="Q54" s="2379">
        <v>13063948</v>
      </c>
      <c r="R54" s="2881" t="s">
        <v>323</v>
      </c>
      <c r="S54" s="2881"/>
      <c r="T54" s="1632"/>
      <c r="U54" s="1629"/>
    </row>
    <row r="55" spans="2:27" ht="15.95" customHeight="1">
      <c r="B55" s="2880"/>
      <c r="C55" s="2389" t="s">
        <v>324</v>
      </c>
      <c r="D55" s="2383">
        <v>552166</v>
      </c>
      <c r="E55" s="2383">
        <v>0</v>
      </c>
      <c r="F55" s="2383">
        <v>191215</v>
      </c>
      <c r="G55" s="2383">
        <v>0</v>
      </c>
      <c r="H55" s="2383">
        <v>0</v>
      </c>
      <c r="I55" s="2383">
        <v>1059</v>
      </c>
      <c r="J55" s="2383">
        <v>0</v>
      </c>
      <c r="K55" s="2383">
        <v>79219</v>
      </c>
      <c r="L55" s="2383">
        <v>1059</v>
      </c>
      <c r="M55" s="2383">
        <v>0</v>
      </c>
      <c r="N55" s="2383">
        <v>0</v>
      </c>
      <c r="O55" s="2383">
        <v>148571</v>
      </c>
      <c r="P55" s="2379">
        <v>520812</v>
      </c>
      <c r="Q55" s="2379">
        <v>0</v>
      </c>
      <c r="R55" s="2875"/>
      <c r="S55" s="2875"/>
      <c r="T55" s="1629"/>
      <c r="U55" s="1629"/>
    </row>
    <row r="56" spans="2:27" ht="15.95" customHeight="1">
      <c r="B56" s="2880"/>
      <c r="C56" s="2389" t="s">
        <v>325</v>
      </c>
      <c r="D56" s="2383">
        <v>17693476</v>
      </c>
      <c r="E56" s="2383">
        <v>15384400</v>
      </c>
      <c r="F56" s="2383">
        <v>32530565</v>
      </c>
      <c r="G56" s="2383">
        <v>21571689</v>
      </c>
      <c r="H56" s="2383">
        <v>17151068</v>
      </c>
      <c r="I56" s="2383">
        <v>25632791</v>
      </c>
      <c r="J56" s="2383">
        <v>23306720</v>
      </c>
      <c r="K56" s="2383">
        <v>21303062</v>
      </c>
      <c r="L56" s="2383">
        <v>21350586</v>
      </c>
      <c r="M56" s="2383">
        <f>15253200+121200+10000+1821127</f>
        <v>17205527</v>
      </c>
      <c r="N56" s="2383">
        <f>15253200+121200+10000+17548873</f>
        <v>32933273</v>
      </c>
      <c r="O56" s="2383">
        <f>14053200+121200+10000+35470694</f>
        <v>49655094</v>
      </c>
      <c r="P56" s="2379">
        <f>15253200+121200+10000+3225710</f>
        <v>18610110</v>
      </c>
      <c r="Q56" s="2379">
        <f>15253200+121200+10000+1957711</f>
        <v>17342111</v>
      </c>
      <c r="R56" s="2875"/>
      <c r="S56" s="2875"/>
      <c r="T56" s="1629"/>
      <c r="U56" s="1629"/>
      <c r="W56" s="2000" t="s">
        <v>2153</v>
      </c>
    </row>
    <row r="57" spans="2:27" ht="15.95" customHeight="1">
      <c r="B57" s="2880"/>
      <c r="C57" s="2389" t="s">
        <v>326</v>
      </c>
      <c r="D57" s="2383">
        <v>2628000</v>
      </c>
      <c r="E57" s="2383">
        <v>2628000</v>
      </c>
      <c r="F57" s="2383">
        <v>2628000</v>
      </c>
      <c r="G57" s="2383">
        <v>2628000</v>
      </c>
      <c r="H57" s="2383">
        <v>2628000</v>
      </c>
      <c r="I57" s="2383">
        <v>2628000</v>
      </c>
      <c r="J57" s="2383">
        <v>2628000</v>
      </c>
      <c r="K57" s="2383">
        <v>2628000</v>
      </c>
      <c r="L57" s="2383">
        <v>2628000</v>
      </c>
      <c r="M57" s="2383">
        <v>2628000</v>
      </c>
      <c r="N57" s="2383">
        <v>2628000</v>
      </c>
      <c r="O57" s="2383">
        <v>2628000</v>
      </c>
      <c r="P57" s="2379">
        <v>2628000</v>
      </c>
      <c r="Q57" s="2379">
        <v>2628000</v>
      </c>
      <c r="R57" s="2875"/>
      <c r="S57" s="2875"/>
      <c r="T57" s="1629"/>
      <c r="U57" s="1629"/>
    </row>
    <row r="58" spans="2:27" ht="15.95" customHeight="1">
      <c r="B58" s="2880"/>
      <c r="C58" s="2389" t="s">
        <v>327</v>
      </c>
      <c r="D58" s="2383">
        <v>6956250</v>
      </c>
      <c r="E58" s="2383">
        <v>6956250</v>
      </c>
      <c r="F58" s="2383">
        <v>6956250</v>
      </c>
      <c r="G58" s="2383">
        <v>6956250</v>
      </c>
      <c r="H58" s="2383">
        <v>6956250</v>
      </c>
      <c r="I58" s="2383">
        <v>6956250</v>
      </c>
      <c r="J58" s="2383">
        <v>6956250</v>
      </c>
      <c r="K58" s="2383">
        <v>6260625</v>
      </c>
      <c r="L58" s="2383">
        <v>6260625</v>
      </c>
      <c r="M58" s="2383">
        <v>6260625</v>
      </c>
      <c r="N58" s="2383">
        <v>6260625</v>
      </c>
      <c r="O58" s="2383">
        <v>6260625</v>
      </c>
      <c r="P58" s="2379">
        <v>6260625</v>
      </c>
      <c r="Q58" s="2379">
        <v>6260625</v>
      </c>
      <c r="R58" s="2875"/>
      <c r="S58" s="2875"/>
      <c r="T58" s="1629"/>
      <c r="U58" s="1629"/>
    </row>
    <row r="59" spans="2:27" ht="15.95" customHeight="1">
      <c r="B59" s="2880"/>
      <c r="C59" s="2389" t="s">
        <v>328</v>
      </c>
      <c r="D59" s="2383">
        <v>0</v>
      </c>
      <c r="E59" s="2383">
        <v>0</v>
      </c>
      <c r="F59" s="2383">
        <v>0</v>
      </c>
      <c r="G59" s="2383">
        <v>0</v>
      </c>
      <c r="H59" s="2383">
        <v>0</v>
      </c>
      <c r="I59" s="2383">
        <v>0</v>
      </c>
      <c r="J59" s="2383">
        <v>0</v>
      </c>
      <c r="K59" s="2383">
        <v>0</v>
      </c>
      <c r="L59" s="2383">
        <v>0</v>
      </c>
      <c r="M59" s="2383">
        <v>0</v>
      </c>
      <c r="N59" s="2383">
        <v>0</v>
      </c>
      <c r="O59" s="2383">
        <v>0</v>
      </c>
      <c r="P59" s="2379">
        <v>0</v>
      </c>
      <c r="Q59" s="2379">
        <v>0</v>
      </c>
      <c r="R59" s="2875"/>
      <c r="S59" s="2875"/>
      <c r="T59" s="1629"/>
      <c r="U59" s="1629"/>
    </row>
    <row r="60" spans="2:27" ht="15.95" customHeight="1">
      <c r="B60" s="2880"/>
      <c r="C60" s="2392" t="s">
        <v>329</v>
      </c>
      <c r="D60" s="2393">
        <f t="shared" ref="D60:L60" si="6">SUM(D49:D59)</f>
        <v>64488326</v>
      </c>
      <c r="E60" s="2393">
        <f t="shared" si="6"/>
        <v>60744408</v>
      </c>
      <c r="F60" s="2393">
        <f t="shared" si="6"/>
        <v>74445042</v>
      </c>
      <c r="G60" s="2393">
        <f t="shared" si="6"/>
        <v>64182061</v>
      </c>
      <c r="H60" s="2393">
        <f t="shared" si="6"/>
        <v>62449865</v>
      </c>
      <c r="I60" s="2393">
        <f t="shared" si="6"/>
        <v>71481645</v>
      </c>
      <c r="J60" s="2393">
        <f t="shared" si="6"/>
        <v>68328950</v>
      </c>
      <c r="K60" s="2393">
        <f t="shared" si="6"/>
        <v>68604638</v>
      </c>
      <c r="L60" s="2393">
        <f t="shared" si="6"/>
        <v>67774046</v>
      </c>
      <c r="M60" s="2393">
        <f>SUM(M49:M59)</f>
        <v>64772671</v>
      </c>
      <c r="N60" s="2393">
        <f>SUM(N49:N59)</f>
        <v>78802438</v>
      </c>
      <c r="O60" s="2393">
        <f>SUM(O49:O59)</f>
        <v>94912545</v>
      </c>
      <c r="P60" s="2393">
        <f>SUM(P49:P59)</f>
        <v>76876415</v>
      </c>
      <c r="Q60" s="2394">
        <f>SUM(Q49:Q59)</f>
        <v>61593614</v>
      </c>
      <c r="R60" s="2879"/>
      <c r="S60" s="2879"/>
      <c r="T60" s="1629"/>
      <c r="U60" s="1629"/>
      <c r="V60" s="1633"/>
      <c r="W60" s="1633"/>
      <c r="Z60" s="1634"/>
    </row>
    <row r="61" spans="2:27" ht="15.95" customHeight="1">
      <c r="B61" s="2880" t="s">
        <v>330</v>
      </c>
      <c r="C61" s="2389" t="s">
        <v>1692</v>
      </c>
      <c r="D61" s="2383">
        <v>1708824</v>
      </c>
      <c r="E61" s="2383">
        <v>9863223</v>
      </c>
      <c r="F61" s="2383">
        <v>212465</v>
      </c>
      <c r="G61" s="2383">
        <v>46447796</v>
      </c>
      <c r="H61" s="2383">
        <v>108595</v>
      </c>
      <c r="I61" s="2383">
        <v>4628859</v>
      </c>
      <c r="J61" s="2383">
        <v>4295145</v>
      </c>
      <c r="K61" s="2383">
        <v>789155</v>
      </c>
      <c r="L61" s="2383">
        <v>0</v>
      </c>
      <c r="M61" s="2383">
        <v>22058845</v>
      </c>
      <c r="N61" s="2383">
        <v>1943446</v>
      </c>
      <c r="O61" s="2383">
        <v>1248382</v>
      </c>
      <c r="P61" s="2379">
        <v>708722</v>
      </c>
      <c r="Q61" s="2379">
        <v>1751317</v>
      </c>
      <c r="R61" s="2881"/>
      <c r="S61" s="2881"/>
      <c r="T61" s="1632"/>
      <c r="U61" s="1629"/>
      <c r="Z61" s="1634"/>
    </row>
    <row r="62" spans="2:27" ht="15.95" customHeight="1">
      <c r="B62" s="2880"/>
      <c r="C62" s="2392" t="s">
        <v>329</v>
      </c>
      <c r="D62" s="2393">
        <f t="shared" ref="D62:L62" si="7">SUM(D61)</f>
        <v>1708824</v>
      </c>
      <c r="E62" s="2393">
        <f t="shared" si="7"/>
        <v>9863223</v>
      </c>
      <c r="F62" s="2393">
        <f t="shared" si="7"/>
        <v>212465</v>
      </c>
      <c r="G62" s="2393">
        <f t="shared" si="7"/>
        <v>46447796</v>
      </c>
      <c r="H62" s="2393">
        <f t="shared" si="7"/>
        <v>108595</v>
      </c>
      <c r="I62" s="2393">
        <f t="shared" si="7"/>
        <v>4628859</v>
      </c>
      <c r="J62" s="2393">
        <f t="shared" si="7"/>
        <v>4295145</v>
      </c>
      <c r="K62" s="2393">
        <f t="shared" si="7"/>
        <v>789155</v>
      </c>
      <c r="L62" s="2393">
        <f t="shared" si="7"/>
        <v>0</v>
      </c>
      <c r="M62" s="2393">
        <f>SUM(M61)</f>
        <v>22058845</v>
      </c>
      <c r="N62" s="2393">
        <f>SUM(N61)</f>
        <v>1943446</v>
      </c>
      <c r="O62" s="2393">
        <f>SUM(O61)</f>
        <v>1248382</v>
      </c>
      <c r="P62" s="2394">
        <f>SUM(P61)</f>
        <v>708722</v>
      </c>
      <c r="Q62" s="2394">
        <f>SUM(Q61)</f>
        <v>1751317</v>
      </c>
      <c r="R62" s="2879"/>
      <c r="S62" s="2879"/>
      <c r="T62" s="1629"/>
      <c r="U62" s="1629"/>
      <c r="Z62" s="1635"/>
      <c r="AA62" s="1633"/>
    </row>
    <row r="63" spans="2:27" ht="15.95" customHeight="1">
      <c r="B63" s="2880" t="s">
        <v>331</v>
      </c>
      <c r="C63" s="2389" t="s">
        <v>332</v>
      </c>
      <c r="D63" s="2383">
        <v>72385920</v>
      </c>
      <c r="E63" s="2383">
        <v>72385920</v>
      </c>
      <c r="F63" s="2383">
        <v>72385920</v>
      </c>
      <c r="G63" s="2383">
        <v>72385920</v>
      </c>
      <c r="H63" s="2383">
        <v>72385920</v>
      </c>
      <c r="I63" s="2383">
        <v>72385920</v>
      </c>
      <c r="J63" s="2383">
        <v>72385920</v>
      </c>
      <c r="K63" s="2383">
        <v>74195568</v>
      </c>
      <c r="L63" s="2383">
        <v>74195568</v>
      </c>
      <c r="M63" s="2383">
        <v>74195568</v>
      </c>
      <c r="N63" s="2383">
        <v>74195568</v>
      </c>
      <c r="O63" s="2383">
        <v>74195568</v>
      </c>
      <c r="P63" s="2379">
        <v>74195568</v>
      </c>
      <c r="Q63" s="2379">
        <v>74195568</v>
      </c>
      <c r="R63" s="2875"/>
      <c r="S63" s="2875"/>
      <c r="T63" s="1629"/>
      <c r="U63" s="1629"/>
    </row>
    <row r="64" spans="2:27" ht="15.95" customHeight="1">
      <c r="B64" s="2880"/>
      <c r="C64" s="2389" t="s">
        <v>333</v>
      </c>
      <c r="D64" s="2383">
        <v>21084457</v>
      </c>
      <c r="E64" s="2383">
        <v>21084457</v>
      </c>
      <c r="F64" s="2383">
        <v>21084457</v>
      </c>
      <c r="G64" s="2383">
        <v>21084457</v>
      </c>
      <c r="H64" s="2383">
        <v>21084457</v>
      </c>
      <c r="I64" s="2383">
        <v>21084457</v>
      </c>
      <c r="J64" s="2383">
        <v>21084457</v>
      </c>
      <c r="K64" s="2383">
        <v>21610920</v>
      </c>
      <c r="L64" s="2383">
        <v>21610920</v>
      </c>
      <c r="M64" s="2383">
        <v>21610920</v>
      </c>
      <c r="N64" s="2383">
        <v>21610920</v>
      </c>
      <c r="O64" s="2383">
        <v>21610920</v>
      </c>
      <c r="P64" s="2379">
        <v>21610920</v>
      </c>
      <c r="Q64" s="2379">
        <v>21610920</v>
      </c>
      <c r="R64" s="2875"/>
      <c r="S64" s="2875"/>
      <c r="T64" s="1629"/>
      <c r="U64" s="1629"/>
      <c r="Z64" s="1634"/>
    </row>
    <row r="65" spans="2:26" ht="15.95" customHeight="1">
      <c r="B65" s="2880"/>
      <c r="C65" s="2389" t="s">
        <v>334</v>
      </c>
      <c r="D65" s="2383">
        <v>17688616</v>
      </c>
      <c r="E65" s="2383">
        <v>17688616</v>
      </c>
      <c r="F65" s="2383">
        <v>17688616</v>
      </c>
      <c r="G65" s="2383">
        <v>17688616</v>
      </c>
      <c r="H65" s="2383">
        <v>17688616</v>
      </c>
      <c r="I65" s="2383">
        <v>17688616</v>
      </c>
      <c r="J65" s="2383">
        <v>17688616</v>
      </c>
      <c r="K65" s="2383">
        <v>18130218</v>
      </c>
      <c r="L65" s="2383">
        <v>18130218</v>
      </c>
      <c r="M65" s="2383">
        <v>18130218</v>
      </c>
      <c r="N65" s="2383">
        <v>18130218</v>
      </c>
      <c r="O65" s="2383">
        <v>18130218</v>
      </c>
      <c r="P65" s="2379">
        <v>18130218</v>
      </c>
      <c r="Q65" s="2379">
        <v>18130218</v>
      </c>
      <c r="R65" s="2875"/>
      <c r="S65" s="2875"/>
      <c r="T65" s="1629"/>
      <c r="U65" s="1629"/>
    </row>
    <row r="66" spans="2:26" ht="15.95" customHeight="1">
      <c r="B66" s="2880"/>
      <c r="C66" s="2389" t="s">
        <v>335</v>
      </c>
      <c r="D66" s="2383">
        <v>11054109</v>
      </c>
      <c r="E66" s="2383">
        <v>11054109</v>
      </c>
      <c r="F66" s="2383">
        <v>11054109</v>
      </c>
      <c r="G66" s="2383">
        <v>11054109</v>
      </c>
      <c r="H66" s="2383">
        <v>11054109</v>
      </c>
      <c r="I66" s="2383">
        <v>11054109</v>
      </c>
      <c r="J66" s="2383">
        <v>11054109</v>
      </c>
      <c r="K66" s="2383">
        <v>11330285</v>
      </c>
      <c r="L66" s="2383">
        <v>11330285</v>
      </c>
      <c r="M66" s="2383">
        <v>11330285</v>
      </c>
      <c r="N66" s="2383">
        <v>11330285</v>
      </c>
      <c r="O66" s="2383">
        <v>11330285</v>
      </c>
      <c r="P66" s="2379">
        <v>11330285</v>
      </c>
      <c r="Q66" s="2379">
        <v>11330285</v>
      </c>
      <c r="R66" s="2875"/>
      <c r="S66" s="2875"/>
      <c r="T66" s="1629"/>
      <c r="U66" s="1629"/>
      <c r="Z66" s="1635"/>
    </row>
    <row r="67" spans="2:26" ht="15.95" customHeight="1">
      <c r="B67" s="2880"/>
      <c r="C67" s="2389" t="s">
        <v>336</v>
      </c>
      <c r="D67" s="2383">
        <v>1560450</v>
      </c>
      <c r="E67" s="2383">
        <v>1560450</v>
      </c>
      <c r="F67" s="2383">
        <v>1560450</v>
      </c>
      <c r="G67" s="2383">
        <v>1560450</v>
      </c>
      <c r="H67" s="2383">
        <v>1560450</v>
      </c>
      <c r="I67" s="2383">
        <v>1560450</v>
      </c>
      <c r="J67" s="2383">
        <v>1560450</v>
      </c>
      <c r="K67" s="2383">
        <v>1560450</v>
      </c>
      <c r="L67" s="2383">
        <v>1560450</v>
      </c>
      <c r="M67" s="2383">
        <v>1560450</v>
      </c>
      <c r="N67" s="2383">
        <v>1560450</v>
      </c>
      <c r="O67" s="2383">
        <v>1560450</v>
      </c>
      <c r="P67" s="2379">
        <v>1560450</v>
      </c>
      <c r="Q67" s="2379">
        <v>1560450</v>
      </c>
      <c r="R67" s="2875"/>
      <c r="S67" s="2875"/>
      <c r="T67" s="1629"/>
      <c r="U67" s="1629"/>
    </row>
    <row r="68" spans="2:26" ht="15.95" customHeight="1">
      <c r="B68" s="2880"/>
      <c r="C68" s="2389" t="s">
        <v>337</v>
      </c>
      <c r="D68" s="2383">
        <v>338510</v>
      </c>
      <c r="E68" s="2383">
        <v>338510</v>
      </c>
      <c r="F68" s="2383">
        <v>338510</v>
      </c>
      <c r="G68" s="2383">
        <v>338510</v>
      </c>
      <c r="H68" s="2383">
        <v>338510</v>
      </c>
      <c r="I68" s="2383">
        <v>338510</v>
      </c>
      <c r="J68" s="2383">
        <v>338510</v>
      </c>
      <c r="K68" s="2383">
        <v>338510</v>
      </c>
      <c r="L68" s="2383">
        <v>338510</v>
      </c>
      <c r="M68" s="2383">
        <v>338510</v>
      </c>
      <c r="N68" s="2383">
        <v>338510</v>
      </c>
      <c r="O68" s="2383">
        <v>338510</v>
      </c>
      <c r="P68" s="2379">
        <v>338510</v>
      </c>
      <c r="Q68" s="2379">
        <v>338510</v>
      </c>
      <c r="R68" s="2875"/>
      <c r="S68" s="2875"/>
      <c r="T68" s="1629"/>
      <c r="U68" s="1629"/>
    </row>
    <row r="69" spans="2:26" ht="15.95" customHeight="1">
      <c r="B69" s="2880"/>
      <c r="C69" s="2389" t="s">
        <v>338</v>
      </c>
      <c r="D69" s="2383">
        <v>1864366</v>
      </c>
      <c r="E69" s="2383">
        <v>1864366</v>
      </c>
      <c r="F69" s="2383">
        <v>1864366</v>
      </c>
      <c r="G69" s="2383">
        <v>1864366</v>
      </c>
      <c r="H69" s="2383">
        <v>1864366</v>
      </c>
      <c r="I69" s="2383">
        <v>1864366</v>
      </c>
      <c r="J69" s="2383">
        <v>1864366</v>
      </c>
      <c r="K69" s="2383">
        <v>1864366</v>
      </c>
      <c r="L69" s="2383">
        <v>1864366</v>
      </c>
      <c r="M69" s="2383">
        <v>1864366</v>
      </c>
      <c r="N69" s="2383">
        <v>1864366</v>
      </c>
      <c r="O69" s="2383">
        <v>1864366</v>
      </c>
      <c r="P69" s="2379">
        <v>1864366</v>
      </c>
      <c r="Q69" s="2379">
        <v>1864366</v>
      </c>
      <c r="R69" s="2881" t="s">
        <v>1110</v>
      </c>
      <c r="S69" s="2881"/>
      <c r="T69" s="1632"/>
      <c r="U69" s="1629"/>
    </row>
    <row r="70" spans="2:26" ht="15.95" customHeight="1">
      <c r="B70" s="2880"/>
      <c r="C70" s="2389" t="s">
        <v>339</v>
      </c>
      <c r="D70" s="2383">
        <v>950000</v>
      </c>
      <c r="E70" s="2383">
        <v>950000</v>
      </c>
      <c r="F70" s="2383">
        <v>950000</v>
      </c>
      <c r="G70" s="2383">
        <v>950000</v>
      </c>
      <c r="H70" s="2383">
        <v>950000</v>
      </c>
      <c r="I70" s="2383">
        <v>950000</v>
      </c>
      <c r="J70" s="2383">
        <v>950000</v>
      </c>
      <c r="K70" s="2383">
        <v>950000</v>
      </c>
      <c r="L70" s="2383">
        <v>950000</v>
      </c>
      <c r="M70" s="2383">
        <v>950000</v>
      </c>
      <c r="N70" s="2383">
        <v>950000</v>
      </c>
      <c r="O70" s="2383">
        <v>950000</v>
      </c>
      <c r="P70" s="2379">
        <v>950000</v>
      </c>
      <c r="Q70" s="2379">
        <v>950000</v>
      </c>
      <c r="R70" s="2875"/>
      <c r="S70" s="2875"/>
      <c r="T70" s="1629"/>
      <c r="U70" s="1629"/>
    </row>
    <row r="71" spans="2:26" ht="15.95" customHeight="1">
      <c r="B71" s="2880"/>
      <c r="C71" s="2389" t="s">
        <v>340</v>
      </c>
      <c r="D71" s="2383">
        <v>0</v>
      </c>
      <c r="E71" s="2383">
        <v>0</v>
      </c>
      <c r="F71" s="2383">
        <v>0</v>
      </c>
      <c r="G71" s="2383">
        <v>0</v>
      </c>
      <c r="H71" s="2383">
        <v>0</v>
      </c>
      <c r="I71" s="2383">
        <v>0</v>
      </c>
      <c r="J71" s="2383">
        <v>0</v>
      </c>
      <c r="K71" s="2383">
        <v>0</v>
      </c>
      <c r="L71" s="2383">
        <v>0</v>
      </c>
      <c r="M71" s="2383">
        <v>0</v>
      </c>
      <c r="N71" s="2383">
        <v>0</v>
      </c>
      <c r="O71" s="2383">
        <v>0</v>
      </c>
      <c r="P71" s="2379">
        <v>0</v>
      </c>
      <c r="Q71" s="2379">
        <v>0</v>
      </c>
      <c r="R71" s="2875"/>
      <c r="S71" s="2875"/>
      <c r="T71" s="1629"/>
      <c r="U71" s="1629"/>
      <c r="Z71" s="1633"/>
    </row>
    <row r="72" spans="2:26" ht="15.95" customHeight="1">
      <c r="B72" s="2880"/>
      <c r="C72" s="2389" t="s">
        <v>341</v>
      </c>
      <c r="D72" s="2383">
        <v>2272500</v>
      </c>
      <c r="E72" s="2383">
        <v>2272500</v>
      </c>
      <c r="F72" s="2383">
        <v>2272500</v>
      </c>
      <c r="G72" s="2383">
        <v>2272500</v>
      </c>
      <c r="H72" s="2383">
        <v>2272500</v>
      </c>
      <c r="I72" s="2383">
        <v>2272500</v>
      </c>
      <c r="J72" s="2383">
        <v>2272500</v>
      </c>
      <c r="K72" s="2383">
        <v>2272500</v>
      </c>
      <c r="L72" s="2383">
        <v>2272500</v>
      </c>
      <c r="M72" s="2383">
        <v>2272500</v>
      </c>
      <c r="N72" s="2383">
        <v>2272500</v>
      </c>
      <c r="O72" s="2383">
        <v>2272500</v>
      </c>
      <c r="P72" s="2379">
        <v>2272500</v>
      </c>
      <c r="Q72" s="2379">
        <v>2272500</v>
      </c>
      <c r="R72" s="2875"/>
      <c r="S72" s="2875"/>
      <c r="T72" s="1629"/>
      <c r="U72" s="1629"/>
      <c r="V72" s="1634"/>
    </row>
    <row r="73" spans="2:26" ht="15.95" customHeight="1">
      <c r="B73" s="2880"/>
      <c r="C73" s="2392" t="s">
        <v>329</v>
      </c>
      <c r="D73" s="2393">
        <f t="shared" ref="D73:L73" si="8">SUM(D63:D72)</f>
        <v>129198928</v>
      </c>
      <c r="E73" s="2393">
        <f t="shared" si="8"/>
        <v>129198928</v>
      </c>
      <c r="F73" s="2393">
        <f t="shared" si="8"/>
        <v>129198928</v>
      </c>
      <c r="G73" s="2393">
        <f t="shared" si="8"/>
        <v>129198928</v>
      </c>
      <c r="H73" s="2393">
        <f t="shared" si="8"/>
        <v>129198928</v>
      </c>
      <c r="I73" s="2393">
        <f t="shared" si="8"/>
        <v>129198928</v>
      </c>
      <c r="J73" s="2393">
        <f t="shared" si="8"/>
        <v>129198928</v>
      </c>
      <c r="K73" s="2393">
        <f t="shared" si="8"/>
        <v>132252817</v>
      </c>
      <c r="L73" s="2393">
        <f t="shared" si="8"/>
        <v>132252817</v>
      </c>
      <c r="M73" s="2393">
        <f>SUM(M63:M72)</f>
        <v>132252817</v>
      </c>
      <c r="N73" s="2393">
        <f>SUM(N63:N72)</f>
        <v>132252817</v>
      </c>
      <c r="O73" s="2393">
        <f>SUM(O63:O72)</f>
        <v>132252817</v>
      </c>
      <c r="P73" s="2394">
        <f>SUM(P63:P72)</f>
        <v>132252817</v>
      </c>
      <c r="Q73" s="2394">
        <f>SUM(Q63:Q72)</f>
        <v>132252817</v>
      </c>
      <c r="R73" s="2879"/>
      <c r="S73" s="2879"/>
      <c r="T73" s="1629"/>
      <c r="U73" s="1629"/>
      <c r="V73" s="1634"/>
    </row>
    <row r="74" spans="2:26" ht="15.95" customHeight="1">
      <c r="B74" s="2880" t="s">
        <v>342</v>
      </c>
      <c r="C74" s="2389" t="s">
        <v>342</v>
      </c>
      <c r="D74" s="2383">
        <v>2176859</v>
      </c>
      <c r="E74" s="2383">
        <v>2176859</v>
      </c>
      <c r="F74" s="2383">
        <v>2176859</v>
      </c>
      <c r="G74" s="2395">
        <v>2176859</v>
      </c>
      <c r="H74" s="2395">
        <v>2176859</v>
      </c>
      <c r="I74" s="2395">
        <v>2176859</v>
      </c>
      <c r="J74" s="2395">
        <v>2176859</v>
      </c>
      <c r="K74" s="2395">
        <v>1670707</v>
      </c>
      <c r="L74" s="2395">
        <v>1670707</v>
      </c>
      <c r="M74" s="2395">
        <v>1670707</v>
      </c>
      <c r="N74" s="2395">
        <v>1670707</v>
      </c>
      <c r="O74" s="2395">
        <v>1670707</v>
      </c>
      <c r="P74" s="2396">
        <v>1670707</v>
      </c>
      <c r="Q74" s="2396">
        <v>1670707</v>
      </c>
      <c r="R74" s="2875"/>
      <c r="S74" s="2875"/>
      <c r="T74" s="1629"/>
      <c r="U74" s="1629"/>
      <c r="V74" s="1634"/>
    </row>
    <row r="75" spans="2:26" ht="15.95" customHeight="1">
      <c r="B75" s="2880"/>
      <c r="C75" s="2392" t="s">
        <v>329</v>
      </c>
      <c r="D75" s="2397">
        <f t="shared" ref="D75:L75" si="9">D74</f>
        <v>2176859</v>
      </c>
      <c r="E75" s="2397">
        <f t="shared" si="9"/>
        <v>2176859</v>
      </c>
      <c r="F75" s="2397">
        <f t="shared" si="9"/>
        <v>2176859</v>
      </c>
      <c r="G75" s="2397">
        <f t="shared" si="9"/>
        <v>2176859</v>
      </c>
      <c r="H75" s="2397">
        <f t="shared" si="9"/>
        <v>2176859</v>
      </c>
      <c r="I75" s="2397">
        <f t="shared" si="9"/>
        <v>2176859</v>
      </c>
      <c r="J75" s="2397">
        <f t="shared" si="9"/>
        <v>2176859</v>
      </c>
      <c r="K75" s="2397">
        <f t="shared" si="9"/>
        <v>1670707</v>
      </c>
      <c r="L75" s="2397">
        <f t="shared" si="9"/>
        <v>1670707</v>
      </c>
      <c r="M75" s="2397">
        <f>M74</f>
        <v>1670707</v>
      </c>
      <c r="N75" s="2397">
        <f>N74</f>
        <v>1670707</v>
      </c>
      <c r="O75" s="2397">
        <f>O74</f>
        <v>1670707</v>
      </c>
      <c r="P75" s="2398">
        <f>P74</f>
        <v>1670707</v>
      </c>
      <c r="Q75" s="2398">
        <f>Q74</f>
        <v>1670707</v>
      </c>
      <c r="R75" s="2879"/>
      <c r="S75" s="2879"/>
      <c r="T75" s="1629"/>
      <c r="U75" s="1629"/>
    </row>
    <row r="76" spans="2:26" ht="15.95" customHeight="1">
      <c r="B76" s="2880" t="s">
        <v>343</v>
      </c>
      <c r="C76" s="2389" t="s">
        <v>343</v>
      </c>
      <c r="D76" s="2383">
        <v>13944640</v>
      </c>
      <c r="E76" s="2383">
        <v>13944640</v>
      </c>
      <c r="F76" s="2383">
        <v>13944640</v>
      </c>
      <c r="G76" s="2395">
        <v>13944640</v>
      </c>
      <c r="H76" s="2395">
        <v>13944640</v>
      </c>
      <c r="I76" s="2395">
        <v>13944640</v>
      </c>
      <c r="J76" s="2395">
        <v>13944640</v>
      </c>
      <c r="K76" s="2395">
        <v>13944640</v>
      </c>
      <c r="L76" s="2395">
        <v>13944640</v>
      </c>
      <c r="M76" s="2395">
        <v>13944640</v>
      </c>
      <c r="N76" s="2395">
        <v>13944640</v>
      </c>
      <c r="O76" s="2395">
        <v>13944640</v>
      </c>
      <c r="P76" s="2396">
        <v>13944640</v>
      </c>
      <c r="Q76" s="2396">
        <v>13944640</v>
      </c>
      <c r="R76" s="2875"/>
      <c r="S76" s="2875"/>
      <c r="T76" s="1629"/>
      <c r="U76" s="1629"/>
    </row>
    <row r="77" spans="2:26" ht="15.95" customHeight="1">
      <c r="B77" s="2880"/>
      <c r="C77" s="2392" t="s">
        <v>329</v>
      </c>
      <c r="D77" s="2397">
        <f t="shared" ref="D77:L77" si="10">D76</f>
        <v>13944640</v>
      </c>
      <c r="E77" s="2397">
        <f t="shared" si="10"/>
        <v>13944640</v>
      </c>
      <c r="F77" s="2397">
        <f t="shared" si="10"/>
        <v>13944640</v>
      </c>
      <c r="G77" s="2397">
        <f t="shared" si="10"/>
        <v>13944640</v>
      </c>
      <c r="H77" s="2397">
        <f t="shared" si="10"/>
        <v>13944640</v>
      </c>
      <c r="I77" s="2397">
        <f t="shared" si="10"/>
        <v>13944640</v>
      </c>
      <c r="J77" s="2397">
        <f t="shared" si="10"/>
        <v>13944640</v>
      </c>
      <c r="K77" s="2397">
        <f t="shared" si="10"/>
        <v>13944640</v>
      </c>
      <c r="L77" s="2397">
        <f t="shared" si="10"/>
        <v>13944640</v>
      </c>
      <c r="M77" s="2397">
        <f>M76</f>
        <v>13944640</v>
      </c>
      <c r="N77" s="2397">
        <f>N76</f>
        <v>13944640</v>
      </c>
      <c r="O77" s="2397">
        <f>O76</f>
        <v>13944640</v>
      </c>
      <c r="P77" s="2398">
        <f>P76</f>
        <v>13944640</v>
      </c>
      <c r="Q77" s="2398">
        <f>Q76</f>
        <v>13944640</v>
      </c>
      <c r="R77" s="2879"/>
      <c r="S77" s="2879"/>
      <c r="T77" s="1629"/>
      <c r="U77" s="1629"/>
    </row>
    <row r="78" spans="2:26" ht="15.95" customHeight="1">
      <c r="B78" s="2880" t="s">
        <v>344</v>
      </c>
      <c r="C78" s="2399" t="s">
        <v>345</v>
      </c>
      <c r="D78" s="2383">
        <v>17370788</v>
      </c>
      <c r="E78" s="2383">
        <v>18437385</v>
      </c>
      <c r="F78" s="2383">
        <v>18684981</v>
      </c>
      <c r="G78" s="2383">
        <v>17852394</v>
      </c>
      <c r="H78" s="2383">
        <v>18159801</v>
      </c>
      <c r="I78" s="2383">
        <v>17067847</v>
      </c>
      <c r="J78" s="2383">
        <v>16941232</v>
      </c>
      <c r="K78" s="2383">
        <v>17148651</v>
      </c>
      <c r="L78" s="2383">
        <v>17266486</v>
      </c>
      <c r="M78" s="2383">
        <v>17318318</v>
      </c>
      <c r="N78" s="2383">
        <v>18166877</v>
      </c>
      <c r="O78" s="2383">
        <v>17511629</v>
      </c>
      <c r="P78" s="2379">
        <v>17722156</v>
      </c>
      <c r="Q78" s="2379">
        <v>18018856</v>
      </c>
      <c r="R78" s="2875"/>
      <c r="S78" s="2875"/>
      <c r="T78" s="1629"/>
      <c r="U78" s="1636"/>
    </row>
    <row r="79" spans="2:26" ht="15.95" customHeight="1">
      <c r="B79" s="2880"/>
      <c r="C79" s="2389" t="s">
        <v>346</v>
      </c>
      <c r="D79" s="2383">
        <v>63094604</v>
      </c>
      <c r="E79" s="2383">
        <v>64628617</v>
      </c>
      <c r="F79" s="2383">
        <v>65192108</v>
      </c>
      <c r="G79" s="2383">
        <v>43718254</v>
      </c>
      <c r="H79" s="2383">
        <v>29207747</v>
      </c>
      <c r="I79" s="2383">
        <v>35644844</v>
      </c>
      <c r="J79" s="2383">
        <v>39638652</v>
      </c>
      <c r="K79" s="2383">
        <v>42932060</v>
      </c>
      <c r="L79" s="2383">
        <v>36041330</v>
      </c>
      <c r="M79" s="2383">
        <v>27714577</v>
      </c>
      <c r="N79" s="2383">
        <v>30110909</v>
      </c>
      <c r="O79" s="2383">
        <v>40266997</v>
      </c>
      <c r="P79" s="2379">
        <v>57798115</v>
      </c>
      <c r="Q79" s="2379">
        <v>64982573</v>
      </c>
      <c r="R79" s="2875"/>
      <c r="S79" s="2875"/>
      <c r="T79" s="1629"/>
      <c r="U79" s="1636"/>
    </row>
    <row r="80" spans="2:26" ht="15.95" customHeight="1">
      <c r="B80" s="2880"/>
      <c r="C80" s="2389" t="s">
        <v>347</v>
      </c>
      <c r="D80" s="2383">
        <v>23926366</v>
      </c>
      <c r="E80" s="2383">
        <v>25035512</v>
      </c>
      <c r="F80" s="2383">
        <v>25668571</v>
      </c>
      <c r="G80" s="2383">
        <v>19343175</v>
      </c>
      <c r="H80" s="2383">
        <v>20296101</v>
      </c>
      <c r="I80" s="2383">
        <v>27182496</v>
      </c>
      <c r="J80" s="2383">
        <v>26187179</v>
      </c>
      <c r="K80" s="2383">
        <v>28202216</v>
      </c>
      <c r="L80" s="2383">
        <v>24477174</v>
      </c>
      <c r="M80" s="2383">
        <v>21435897</v>
      </c>
      <c r="N80" s="2383">
        <v>20871476</v>
      </c>
      <c r="O80" s="2383">
        <v>20417490</v>
      </c>
      <c r="P80" s="2379">
        <v>23488071</v>
      </c>
      <c r="Q80" s="2379">
        <v>26532624</v>
      </c>
      <c r="R80" s="2875"/>
      <c r="S80" s="2875"/>
      <c r="T80" s="1629"/>
      <c r="U80" s="1629"/>
    </row>
    <row r="81" spans="2:23" ht="15.95" customHeight="1">
      <c r="B81" s="2880"/>
      <c r="C81" s="2389" t="s">
        <v>348</v>
      </c>
      <c r="D81" s="2383">
        <v>42115614</v>
      </c>
      <c r="E81" s="2383">
        <v>46375126</v>
      </c>
      <c r="F81" s="2383">
        <v>47753598</v>
      </c>
      <c r="G81" s="2383">
        <v>32424782</v>
      </c>
      <c r="H81" s="2383">
        <v>27127716</v>
      </c>
      <c r="I81" s="2383">
        <v>37754001</v>
      </c>
      <c r="J81" s="2383">
        <v>43595577</v>
      </c>
      <c r="K81" s="2383">
        <v>47776333</v>
      </c>
      <c r="L81" s="2383">
        <v>36116630</v>
      </c>
      <c r="M81" s="2383">
        <v>28495456</v>
      </c>
      <c r="N81" s="2383">
        <v>21071887</v>
      </c>
      <c r="O81" s="2383">
        <v>22554334</v>
      </c>
      <c r="P81" s="2379">
        <v>34111455</v>
      </c>
      <c r="Q81" s="2379">
        <v>41225566</v>
      </c>
      <c r="R81" s="2875"/>
      <c r="S81" s="2875"/>
      <c r="T81" s="1629"/>
      <c r="U81" s="1629"/>
    </row>
    <row r="82" spans="2:23" ht="15.95" customHeight="1">
      <c r="B82" s="2880"/>
      <c r="C82" s="2389" t="s">
        <v>349</v>
      </c>
      <c r="D82" s="2383">
        <v>6774215</v>
      </c>
      <c r="E82" s="2383">
        <v>7444693</v>
      </c>
      <c r="F82" s="2383">
        <v>7583187</v>
      </c>
      <c r="G82" s="2383">
        <v>5597379</v>
      </c>
      <c r="H82" s="2383">
        <v>3805439</v>
      </c>
      <c r="I82" s="2383">
        <v>4465002</v>
      </c>
      <c r="J82" s="2383">
        <v>4701876</v>
      </c>
      <c r="K82" s="2383">
        <v>4944289</v>
      </c>
      <c r="L82" s="2383">
        <v>4265883</v>
      </c>
      <c r="M82" s="2383">
        <v>3630565</v>
      </c>
      <c r="N82" s="2383">
        <v>3761176</v>
      </c>
      <c r="O82" s="2383">
        <v>4566767</v>
      </c>
      <c r="P82" s="2379">
        <v>6431076</v>
      </c>
      <c r="Q82" s="2379">
        <v>6407304</v>
      </c>
      <c r="R82" s="2875"/>
      <c r="S82" s="2875"/>
      <c r="T82" s="1629"/>
      <c r="U82" s="1629"/>
    </row>
    <row r="83" spans="2:23" ht="15.95" customHeight="1">
      <c r="B83" s="2880"/>
      <c r="C83" s="2389" t="s">
        <v>350</v>
      </c>
      <c r="D83" s="2383">
        <v>164203</v>
      </c>
      <c r="E83" s="2383">
        <v>157924</v>
      </c>
      <c r="F83" s="2383">
        <v>110455</v>
      </c>
      <c r="G83" s="2383">
        <v>81193</v>
      </c>
      <c r="H83" s="2383">
        <v>145500</v>
      </c>
      <c r="I83" s="2383">
        <v>10356778</v>
      </c>
      <c r="J83" s="2383">
        <v>22188062</v>
      </c>
      <c r="K83" s="2383">
        <v>32162298</v>
      </c>
      <c r="L83" s="2383">
        <v>18448409</v>
      </c>
      <c r="M83" s="2383">
        <v>12465850</v>
      </c>
      <c r="N83" s="2383">
        <v>-47815</v>
      </c>
      <c r="O83" s="2383">
        <v>371149</v>
      </c>
      <c r="P83" s="2379">
        <v>99679</v>
      </c>
      <c r="Q83" s="2379">
        <v>235975</v>
      </c>
      <c r="R83" s="2875"/>
      <c r="S83" s="2875"/>
      <c r="T83" s="1629"/>
      <c r="U83" s="1629"/>
    </row>
    <row r="84" spans="2:23" ht="15.95" customHeight="1">
      <c r="B84" s="2880"/>
      <c r="C84" s="2389" t="s">
        <v>351</v>
      </c>
      <c r="D84" s="2383">
        <v>0</v>
      </c>
      <c r="E84" s="2383">
        <v>0</v>
      </c>
      <c r="F84" s="2383">
        <v>0</v>
      </c>
      <c r="G84" s="2383">
        <v>0</v>
      </c>
      <c r="H84" s="2383">
        <v>0</v>
      </c>
      <c r="I84" s="2383">
        <v>34194</v>
      </c>
      <c r="J84" s="2383">
        <v>45764</v>
      </c>
      <c r="K84" s="2383">
        <v>52277</v>
      </c>
      <c r="L84" s="2383">
        <v>45707</v>
      </c>
      <c r="M84" s="2383">
        <v>39349</v>
      </c>
      <c r="N84" s="2383">
        <v>0</v>
      </c>
      <c r="O84" s="2383">
        <v>0</v>
      </c>
      <c r="P84" s="2379">
        <v>0</v>
      </c>
      <c r="Q84" s="2379">
        <v>0</v>
      </c>
      <c r="R84" s="2875"/>
      <c r="S84" s="2875"/>
      <c r="T84" s="1629"/>
      <c r="U84" s="1629"/>
    </row>
    <row r="85" spans="2:23" ht="15.95" customHeight="1">
      <c r="B85" s="2880"/>
      <c r="C85" s="2389" t="s">
        <v>352</v>
      </c>
      <c r="D85" s="2383">
        <v>11177591</v>
      </c>
      <c r="E85" s="2383">
        <v>14122005</v>
      </c>
      <c r="F85" s="2383">
        <v>14538310</v>
      </c>
      <c r="G85" s="2383">
        <v>9992052</v>
      </c>
      <c r="H85" s="2383">
        <v>3346783</v>
      </c>
      <c r="I85" s="2383">
        <v>3760876</v>
      </c>
      <c r="J85" s="2383">
        <v>3765824</v>
      </c>
      <c r="K85" s="2383">
        <v>4323619</v>
      </c>
      <c r="L85" s="2383">
        <v>2512846</v>
      </c>
      <c r="M85" s="2383">
        <v>4773559</v>
      </c>
      <c r="N85" s="2383">
        <v>9081168</v>
      </c>
      <c r="O85" s="2383">
        <v>8574217</v>
      </c>
      <c r="P85" s="2379">
        <v>11370152</v>
      </c>
      <c r="Q85" s="2379">
        <v>9173051</v>
      </c>
      <c r="R85" s="2875"/>
      <c r="S85" s="2875"/>
      <c r="T85" s="1629"/>
      <c r="U85" s="1629"/>
    </row>
    <row r="86" spans="2:23" ht="15.95" customHeight="1">
      <c r="B86" s="2880"/>
      <c r="C86" s="2389" t="s">
        <v>353</v>
      </c>
      <c r="D86" s="2383">
        <v>1406150</v>
      </c>
      <c r="E86" s="2383">
        <v>1398895</v>
      </c>
      <c r="F86" s="2383">
        <v>1710048</v>
      </c>
      <c r="G86" s="2383">
        <v>1489692</v>
      </c>
      <c r="H86" s="2383">
        <v>1317546</v>
      </c>
      <c r="I86" s="2383">
        <v>1242249</v>
      </c>
      <c r="J86" s="2383">
        <v>937850</v>
      </c>
      <c r="K86" s="2383">
        <v>1019254</v>
      </c>
      <c r="L86" s="2383">
        <v>989379</v>
      </c>
      <c r="M86" s="2383">
        <v>1139708</v>
      </c>
      <c r="N86" s="2383">
        <v>1251594</v>
      </c>
      <c r="O86" s="2383">
        <v>1228528</v>
      </c>
      <c r="P86" s="2379">
        <v>1439320</v>
      </c>
      <c r="Q86" s="2379">
        <v>1502905</v>
      </c>
      <c r="R86" s="2875"/>
      <c r="S86" s="2875"/>
      <c r="T86" s="1629"/>
      <c r="U86" s="1629"/>
    </row>
    <row r="87" spans="2:23" ht="15.95" customHeight="1">
      <c r="B87" s="2880"/>
      <c r="C87" s="2389" t="s">
        <v>354</v>
      </c>
      <c r="D87" s="2383">
        <v>30692055</v>
      </c>
      <c r="E87" s="2383">
        <v>47053430</v>
      </c>
      <c r="F87" s="2383">
        <v>50074104</v>
      </c>
      <c r="G87" s="2383">
        <v>36182319</v>
      </c>
      <c r="H87" s="2383">
        <v>1191017</v>
      </c>
      <c r="I87" s="2383">
        <v>102325</v>
      </c>
      <c r="J87" s="2383">
        <v>1074594</v>
      </c>
      <c r="K87" s="2383">
        <v>1677916</v>
      </c>
      <c r="L87" s="2383">
        <v>1029007</v>
      </c>
      <c r="M87" s="2383">
        <v>41219</v>
      </c>
      <c r="N87" s="2383">
        <v>2925234</v>
      </c>
      <c r="O87" s="2383">
        <v>13541202</v>
      </c>
      <c r="P87" s="2379">
        <v>29802421</v>
      </c>
      <c r="Q87" s="2379">
        <v>47822034</v>
      </c>
      <c r="R87" s="2875"/>
      <c r="S87" s="2875"/>
      <c r="T87" s="1629"/>
      <c r="U87" s="1629"/>
    </row>
    <row r="88" spans="2:23" ht="15.95" customHeight="1">
      <c r="B88" s="2400"/>
      <c r="C88" s="2392" t="s">
        <v>329</v>
      </c>
      <c r="D88" s="2393">
        <f t="shared" ref="D88:L88" si="11">SUM(D78:D87)</f>
        <v>196721586</v>
      </c>
      <c r="E88" s="2393">
        <f t="shared" si="11"/>
        <v>224653587</v>
      </c>
      <c r="F88" s="2393">
        <f t="shared" si="11"/>
        <v>231315362</v>
      </c>
      <c r="G88" s="2393">
        <f t="shared" si="11"/>
        <v>166681240</v>
      </c>
      <c r="H88" s="2393">
        <f t="shared" si="11"/>
        <v>104597650</v>
      </c>
      <c r="I88" s="2393">
        <f t="shared" si="11"/>
        <v>137610612</v>
      </c>
      <c r="J88" s="2393">
        <f t="shared" si="11"/>
        <v>159076610</v>
      </c>
      <c r="K88" s="2393">
        <f t="shared" si="11"/>
        <v>180238913</v>
      </c>
      <c r="L88" s="2393">
        <f t="shared" si="11"/>
        <v>141192851</v>
      </c>
      <c r="M88" s="2393">
        <f>SUM(M78:M87)</f>
        <v>117054498</v>
      </c>
      <c r="N88" s="2393">
        <f>SUM(N78:N87)</f>
        <v>107192506</v>
      </c>
      <c r="O88" s="2393">
        <f>SUM(O78:O87)</f>
        <v>129032313</v>
      </c>
      <c r="P88" s="2394">
        <f>SUM(P78:P87)</f>
        <v>182262445</v>
      </c>
      <c r="Q88" s="2394">
        <f>SUM(Q78:Q87)</f>
        <v>215900888</v>
      </c>
      <c r="R88" s="2879"/>
      <c r="S88" s="2879"/>
      <c r="T88" s="1629"/>
      <c r="U88" s="1629"/>
      <c r="V88" s="1634"/>
    </row>
    <row r="89" spans="2:23" ht="15.95" customHeight="1">
      <c r="B89" s="2880" t="s">
        <v>355</v>
      </c>
      <c r="C89" s="2389" t="s">
        <v>356</v>
      </c>
      <c r="D89" s="2383">
        <v>421793</v>
      </c>
      <c r="E89" s="2383">
        <v>421792</v>
      </c>
      <c r="F89" s="2383">
        <v>462237</v>
      </c>
      <c r="G89" s="2383">
        <v>462237</v>
      </c>
      <c r="H89" s="2383">
        <v>462237</v>
      </c>
      <c r="I89" s="2383">
        <v>462237</v>
      </c>
      <c r="J89" s="2383">
        <v>462237</v>
      </c>
      <c r="K89" s="2383">
        <v>462237</v>
      </c>
      <c r="L89" s="2383">
        <v>462237</v>
      </c>
      <c r="M89" s="2383">
        <v>462237</v>
      </c>
      <c r="N89" s="2383">
        <v>462237</v>
      </c>
      <c r="O89" s="2383">
        <v>462237</v>
      </c>
      <c r="P89" s="2379">
        <v>462237</v>
      </c>
      <c r="Q89" s="2379">
        <v>462236</v>
      </c>
      <c r="R89" s="2875"/>
      <c r="S89" s="2875"/>
      <c r="T89" s="1629"/>
      <c r="U89" s="1629"/>
      <c r="V89" s="1634"/>
    </row>
    <row r="90" spans="2:23" ht="15.95" customHeight="1">
      <c r="B90" s="2880"/>
      <c r="C90" s="2389" t="s">
        <v>357</v>
      </c>
      <c r="D90" s="2383">
        <v>73045</v>
      </c>
      <c r="E90" s="2383">
        <v>73045</v>
      </c>
      <c r="F90" s="2383">
        <v>73046</v>
      </c>
      <c r="G90" s="2383">
        <v>74729</v>
      </c>
      <c r="H90" s="2383">
        <v>74729</v>
      </c>
      <c r="I90" s="2383">
        <v>74729</v>
      </c>
      <c r="J90" s="2383">
        <v>74729</v>
      </c>
      <c r="K90" s="2383">
        <v>74729</v>
      </c>
      <c r="L90" s="2383">
        <v>74729</v>
      </c>
      <c r="M90" s="2383">
        <v>74729</v>
      </c>
      <c r="N90" s="2383">
        <v>74729</v>
      </c>
      <c r="O90" s="2383">
        <v>74729</v>
      </c>
      <c r="P90" s="2379">
        <v>74729</v>
      </c>
      <c r="Q90" s="2379">
        <v>74729</v>
      </c>
      <c r="R90" s="2875"/>
      <c r="S90" s="2875"/>
      <c r="T90" s="1629"/>
      <c r="U90" s="1629"/>
      <c r="V90" s="1634"/>
      <c r="W90" s="1633"/>
    </row>
    <row r="91" spans="2:23" ht="15.95" customHeight="1">
      <c r="B91" s="2880"/>
      <c r="C91" s="2389" t="s">
        <v>358</v>
      </c>
      <c r="D91" s="2383">
        <v>4553</v>
      </c>
      <c r="E91" s="2383">
        <v>0</v>
      </c>
      <c r="F91" s="2383">
        <v>0</v>
      </c>
      <c r="G91" s="2383">
        <v>0</v>
      </c>
      <c r="H91" s="2383">
        <v>0</v>
      </c>
      <c r="I91" s="2383">
        <v>0</v>
      </c>
      <c r="J91" s="2383">
        <v>0</v>
      </c>
      <c r="K91" s="2383">
        <v>0</v>
      </c>
      <c r="L91" s="2383">
        <v>0</v>
      </c>
      <c r="M91" s="2383">
        <v>0</v>
      </c>
      <c r="N91" s="2383">
        <v>4553</v>
      </c>
      <c r="O91" s="2383">
        <v>0</v>
      </c>
      <c r="P91" s="2379">
        <v>4553</v>
      </c>
      <c r="Q91" s="2379">
        <v>0</v>
      </c>
      <c r="R91" s="2875"/>
      <c r="S91" s="2875"/>
      <c r="T91" s="1629"/>
      <c r="U91" s="1629"/>
      <c r="V91" s="1634"/>
    </row>
    <row r="92" spans="2:23" ht="15.95" customHeight="1">
      <c r="B92" s="2880"/>
      <c r="C92" s="2401" t="s">
        <v>329</v>
      </c>
      <c r="D92" s="2393">
        <f t="shared" ref="D92:L92" si="12">SUM(D89:D91)</f>
        <v>499391</v>
      </c>
      <c r="E92" s="2393">
        <f t="shared" si="12"/>
        <v>494837</v>
      </c>
      <c r="F92" s="2393">
        <f t="shared" si="12"/>
        <v>535283</v>
      </c>
      <c r="G92" s="2393">
        <f t="shared" si="12"/>
        <v>536966</v>
      </c>
      <c r="H92" s="2393">
        <f t="shared" si="12"/>
        <v>536966</v>
      </c>
      <c r="I92" s="2393">
        <f t="shared" si="12"/>
        <v>536966</v>
      </c>
      <c r="J92" s="2393">
        <f t="shared" si="12"/>
        <v>536966</v>
      </c>
      <c r="K92" s="2393">
        <f t="shared" si="12"/>
        <v>536966</v>
      </c>
      <c r="L92" s="2393">
        <f t="shared" si="12"/>
        <v>536966</v>
      </c>
      <c r="M92" s="2393">
        <f>SUM(M89:M91)</f>
        <v>536966</v>
      </c>
      <c r="N92" s="2393">
        <f>SUM(N89:N91)</f>
        <v>541519</v>
      </c>
      <c r="O92" s="2393">
        <f>SUM(O89:O91)</f>
        <v>536966</v>
      </c>
      <c r="P92" s="2394">
        <f>SUM(P89:P91)</f>
        <v>541519</v>
      </c>
      <c r="Q92" s="2394">
        <f>SUM(Q89:Q91)</f>
        <v>536965</v>
      </c>
      <c r="R92" s="2879"/>
      <c r="S92" s="2879"/>
      <c r="T92" s="1629"/>
      <c r="U92" s="1629"/>
      <c r="V92" s="1635"/>
    </row>
    <row r="93" spans="2:23" ht="19.5" customHeight="1">
      <c r="B93" s="2877" t="s">
        <v>359</v>
      </c>
      <c r="C93" s="2877"/>
      <c r="D93" s="2402">
        <f t="shared" ref="D93:L93" si="13">SUM(D60,D62,D73,D75,D77,D88,D92)</f>
        <v>408738554</v>
      </c>
      <c r="E93" s="2402">
        <f t="shared" si="13"/>
        <v>441076482</v>
      </c>
      <c r="F93" s="2402">
        <f t="shared" si="13"/>
        <v>451828579</v>
      </c>
      <c r="G93" s="2402">
        <f t="shared" si="13"/>
        <v>423168490</v>
      </c>
      <c r="H93" s="2402">
        <f t="shared" si="13"/>
        <v>313013503</v>
      </c>
      <c r="I93" s="2402">
        <f t="shared" si="13"/>
        <v>359578509</v>
      </c>
      <c r="J93" s="2402">
        <f t="shared" si="13"/>
        <v>377558098</v>
      </c>
      <c r="K93" s="2402">
        <f t="shared" si="13"/>
        <v>398037836</v>
      </c>
      <c r="L93" s="2402">
        <f t="shared" si="13"/>
        <v>357372027</v>
      </c>
      <c r="M93" s="2402">
        <f>SUM(M60,M62,M73,M75,M77,M88,M92)</f>
        <v>352291144</v>
      </c>
      <c r="N93" s="2402">
        <f>SUM(N60,N62,N73,N75,N77,N88,N92)</f>
        <v>336348073</v>
      </c>
      <c r="O93" s="2402">
        <f>SUM(O60,O62,O73,O75,O77,O88,O92)</f>
        <v>373598370</v>
      </c>
      <c r="P93" s="2402">
        <f>SUM(P60,P62,P73,P75,P77,P88,P92)</f>
        <v>408257265</v>
      </c>
      <c r="Q93" s="2402">
        <f>SUM(Q60,Q62,Q73,Q75,Q77,Q88,Q92)</f>
        <v>427650948</v>
      </c>
      <c r="R93" s="2878"/>
      <c r="S93" s="2878"/>
      <c r="T93" s="1631"/>
      <c r="U93" s="1631"/>
      <c r="V93" s="1635"/>
      <c r="W93" s="1637"/>
    </row>
    <row r="94" spans="2:23" ht="15.95" customHeight="1">
      <c r="B94" s="2874" t="s">
        <v>360</v>
      </c>
      <c r="C94" s="2389" t="s">
        <v>361</v>
      </c>
      <c r="D94" s="2383">
        <v>0</v>
      </c>
      <c r="E94" s="2383">
        <v>0</v>
      </c>
      <c r="F94" s="2383">
        <v>0</v>
      </c>
      <c r="G94" s="2383">
        <v>0</v>
      </c>
      <c r="H94" s="2383">
        <v>0</v>
      </c>
      <c r="I94" s="2383">
        <v>0</v>
      </c>
      <c r="J94" s="2383">
        <v>0</v>
      </c>
      <c r="K94" s="2383">
        <v>0</v>
      </c>
      <c r="L94" s="2383">
        <v>0</v>
      </c>
      <c r="M94" s="2383">
        <v>0</v>
      </c>
      <c r="N94" s="2383">
        <v>0</v>
      </c>
      <c r="O94" s="2383">
        <v>0</v>
      </c>
      <c r="P94" s="2379">
        <v>0</v>
      </c>
      <c r="Q94" s="2379">
        <v>0</v>
      </c>
      <c r="R94" s="2875"/>
      <c r="S94" s="2875"/>
      <c r="T94" s="1629"/>
      <c r="U94" s="1629"/>
    </row>
    <row r="95" spans="2:23" ht="15.95" customHeight="1">
      <c r="B95" s="2874"/>
      <c r="C95" s="2389" t="s">
        <v>362</v>
      </c>
      <c r="D95" s="2383">
        <v>0</v>
      </c>
      <c r="E95" s="2383">
        <v>0</v>
      </c>
      <c r="F95" s="2383">
        <v>0</v>
      </c>
      <c r="G95" s="2383">
        <v>0</v>
      </c>
      <c r="H95" s="2383">
        <v>0</v>
      </c>
      <c r="I95" s="2383">
        <v>0</v>
      </c>
      <c r="J95" s="2383">
        <v>0</v>
      </c>
      <c r="K95" s="2383">
        <v>0</v>
      </c>
      <c r="L95" s="2383">
        <v>0</v>
      </c>
      <c r="M95" s="2383">
        <v>0</v>
      </c>
      <c r="N95" s="2383">
        <v>0</v>
      </c>
      <c r="O95" s="2383">
        <v>0</v>
      </c>
      <c r="P95" s="2379">
        <v>0</v>
      </c>
      <c r="Q95" s="2379">
        <v>0</v>
      </c>
      <c r="R95" s="2875"/>
      <c r="S95" s="2875"/>
      <c r="T95" s="1629"/>
      <c r="U95" s="1629"/>
    </row>
    <row r="96" spans="2:23" ht="15.95" customHeight="1">
      <c r="B96" s="2874"/>
      <c r="C96" s="2388" t="s">
        <v>312</v>
      </c>
      <c r="D96" s="2403">
        <f t="shared" ref="D96:L96" si="14">D94+D95</f>
        <v>0</v>
      </c>
      <c r="E96" s="2403">
        <f t="shared" si="14"/>
        <v>0</v>
      </c>
      <c r="F96" s="2403">
        <f t="shared" si="14"/>
        <v>0</v>
      </c>
      <c r="G96" s="2403">
        <f t="shared" si="14"/>
        <v>0</v>
      </c>
      <c r="H96" s="2403">
        <f t="shared" si="14"/>
        <v>0</v>
      </c>
      <c r="I96" s="2403">
        <f t="shared" si="14"/>
        <v>0</v>
      </c>
      <c r="J96" s="2403">
        <f t="shared" si="14"/>
        <v>0</v>
      </c>
      <c r="K96" s="2403">
        <f t="shared" si="14"/>
        <v>0</v>
      </c>
      <c r="L96" s="2403">
        <f t="shared" si="14"/>
        <v>0</v>
      </c>
      <c r="M96" s="2403">
        <f>M94+M95</f>
        <v>0</v>
      </c>
      <c r="N96" s="2403">
        <f>N94+N95</f>
        <v>0</v>
      </c>
      <c r="O96" s="2403">
        <f>O94+O95</f>
        <v>0</v>
      </c>
      <c r="P96" s="2404">
        <f>P94+P95</f>
        <v>0</v>
      </c>
      <c r="Q96" s="2404">
        <f>Q94+Q95</f>
        <v>0</v>
      </c>
      <c r="R96" s="2876"/>
      <c r="S96" s="2876"/>
      <c r="T96" s="1629"/>
      <c r="U96" s="1629"/>
    </row>
    <row r="97" spans="2:23" ht="15.95" customHeight="1">
      <c r="B97" s="2874" t="s">
        <v>363</v>
      </c>
      <c r="C97" s="2389" t="s">
        <v>364</v>
      </c>
      <c r="D97" s="2383">
        <v>2608000</v>
      </c>
      <c r="E97" s="2383">
        <v>13018634</v>
      </c>
      <c r="F97" s="2383">
        <v>8058000</v>
      </c>
      <c r="G97" s="2383"/>
      <c r="H97" s="2383"/>
      <c r="I97" s="2383">
        <v>1344000</v>
      </c>
      <c r="J97" s="2383"/>
      <c r="K97" s="2383">
        <v>39207000</v>
      </c>
      <c r="L97" s="2383"/>
      <c r="M97" s="2383"/>
      <c r="N97" s="2383">
        <v>32969000</v>
      </c>
      <c r="O97" s="2383">
        <v>10898000</v>
      </c>
      <c r="P97" s="2379">
        <v>0</v>
      </c>
      <c r="Q97" s="2379">
        <v>0</v>
      </c>
      <c r="R97" s="2875"/>
      <c r="S97" s="2875"/>
      <c r="T97" s="1629"/>
      <c r="U97" s="1629" t="s">
        <v>481</v>
      </c>
    </row>
    <row r="98" spans="2:23" ht="15.95" customHeight="1">
      <c r="B98" s="2874"/>
      <c r="C98" s="2388" t="s">
        <v>312</v>
      </c>
      <c r="D98" s="2403">
        <f t="shared" ref="D98:L98" si="15">D97</f>
        <v>2608000</v>
      </c>
      <c r="E98" s="2403">
        <f t="shared" si="15"/>
        <v>13018634</v>
      </c>
      <c r="F98" s="2403">
        <f t="shared" si="15"/>
        <v>8058000</v>
      </c>
      <c r="G98" s="2403">
        <f t="shared" si="15"/>
        <v>0</v>
      </c>
      <c r="H98" s="2403">
        <f t="shared" si="15"/>
        <v>0</v>
      </c>
      <c r="I98" s="2403">
        <f t="shared" si="15"/>
        <v>1344000</v>
      </c>
      <c r="J98" s="2403">
        <f t="shared" si="15"/>
        <v>0</v>
      </c>
      <c r="K98" s="2403">
        <f t="shared" si="15"/>
        <v>39207000</v>
      </c>
      <c r="L98" s="2403">
        <f t="shared" si="15"/>
        <v>0</v>
      </c>
      <c r="M98" s="2403">
        <f>M97</f>
        <v>0</v>
      </c>
      <c r="N98" s="2403">
        <f>N97</f>
        <v>32969000</v>
      </c>
      <c r="O98" s="2403">
        <f>O97</f>
        <v>10898000</v>
      </c>
      <c r="P98" s="2404">
        <f>P97</f>
        <v>0</v>
      </c>
      <c r="Q98" s="2404">
        <f>Q97</f>
        <v>0</v>
      </c>
      <c r="R98" s="2876"/>
      <c r="S98" s="2876"/>
      <c r="T98" s="1629"/>
      <c r="U98" s="1629"/>
      <c r="V98" s="1635"/>
    </row>
    <row r="99" spans="2:23" ht="15.95" customHeight="1">
      <c r="B99" s="2874" t="s">
        <v>365</v>
      </c>
      <c r="C99" s="2405" t="s">
        <v>366</v>
      </c>
      <c r="D99" s="2383">
        <v>0</v>
      </c>
      <c r="E99" s="2383">
        <v>0</v>
      </c>
      <c r="F99" s="2383">
        <v>0</v>
      </c>
      <c r="G99" s="2383">
        <v>0</v>
      </c>
      <c r="H99" s="2383">
        <v>0</v>
      </c>
      <c r="I99" s="2383">
        <v>0</v>
      </c>
      <c r="J99" s="2383">
        <v>0</v>
      </c>
      <c r="K99" s="2383">
        <v>0</v>
      </c>
      <c r="L99" s="2383">
        <v>0</v>
      </c>
      <c r="M99" s="2383">
        <v>0</v>
      </c>
      <c r="N99" s="2383">
        <v>0</v>
      </c>
      <c r="O99" s="2383">
        <v>0</v>
      </c>
      <c r="P99" s="2379">
        <v>0</v>
      </c>
      <c r="Q99" s="2379">
        <v>1</v>
      </c>
      <c r="R99" s="2875"/>
      <c r="S99" s="2875"/>
      <c r="T99" s="1629"/>
      <c r="U99" s="1629"/>
    </row>
    <row r="100" spans="2:23" ht="15.95" customHeight="1">
      <c r="B100" s="2874"/>
      <c r="C100" s="2388" t="s">
        <v>312</v>
      </c>
      <c r="D100" s="2403">
        <f t="shared" ref="D100:L100" si="16">D99</f>
        <v>0</v>
      </c>
      <c r="E100" s="2403">
        <f t="shared" si="16"/>
        <v>0</v>
      </c>
      <c r="F100" s="2403">
        <f t="shared" si="16"/>
        <v>0</v>
      </c>
      <c r="G100" s="2403">
        <f t="shared" si="16"/>
        <v>0</v>
      </c>
      <c r="H100" s="2403">
        <f t="shared" si="16"/>
        <v>0</v>
      </c>
      <c r="I100" s="2403">
        <f t="shared" si="16"/>
        <v>0</v>
      </c>
      <c r="J100" s="2403">
        <f t="shared" si="16"/>
        <v>0</v>
      </c>
      <c r="K100" s="2403">
        <f t="shared" si="16"/>
        <v>0</v>
      </c>
      <c r="L100" s="2403">
        <f t="shared" si="16"/>
        <v>0</v>
      </c>
      <c r="M100" s="2403">
        <f>M99</f>
        <v>0</v>
      </c>
      <c r="N100" s="2403">
        <f>N99</f>
        <v>0</v>
      </c>
      <c r="O100" s="2403">
        <f>O99</f>
        <v>0</v>
      </c>
      <c r="P100" s="2404">
        <f>P99</f>
        <v>0</v>
      </c>
      <c r="Q100" s="2404">
        <f>Q99</f>
        <v>1</v>
      </c>
      <c r="R100" s="2876"/>
      <c r="S100" s="2876"/>
      <c r="T100" s="1629"/>
      <c r="U100" s="1629"/>
      <c r="V100" s="1634"/>
    </row>
    <row r="101" spans="2:23" ht="35.25" customHeight="1">
      <c r="B101" s="2872" t="s">
        <v>367</v>
      </c>
      <c r="C101" s="2872"/>
      <c r="D101" s="2406">
        <f t="shared" ref="D101:L101" si="17">D46+D48+D93+D96+D98+D100</f>
        <v>534392374</v>
      </c>
      <c r="E101" s="2406">
        <f t="shared" si="17"/>
        <v>577140936</v>
      </c>
      <c r="F101" s="2406">
        <f t="shared" si="17"/>
        <v>587637399</v>
      </c>
      <c r="G101" s="2406">
        <f t="shared" si="17"/>
        <v>551116400</v>
      </c>
      <c r="H101" s="2406">
        <f t="shared" si="17"/>
        <v>441045933</v>
      </c>
      <c r="I101" s="2406">
        <f t="shared" si="17"/>
        <v>488954939</v>
      </c>
      <c r="J101" s="2406">
        <f t="shared" si="17"/>
        <v>505590528</v>
      </c>
      <c r="K101" s="2406">
        <f t="shared" si="17"/>
        <v>565277266</v>
      </c>
      <c r="L101" s="2406">
        <f t="shared" si="17"/>
        <v>485404457</v>
      </c>
      <c r="M101" s="2406">
        <f>M46+M48+M93+M96+M98+M100</f>
        <v>480323574</v>
      </c>
      <c r="N101" s="2406">
        <f>N46+N48+N93+N96+N98+N100</f>
        <v>504324903</v>
      </c>
      <c r="O101" s="2406">
        <f>O46+O48+O93+O96+O98+O100</f>
        <v>516516500</v>
      </c>
      <c r="P101" s="2406">
        <f t="shared" ref="P101:Q101" si="18">P46+P48+P93+P96+P98+P100</f>
        <v>540277395</v>
      </c>
      <c r="Q101" s="2406">
        <f t="shared" si="18"/>
        <v>427650949</v>
      </c>
      <c r="R101" s="2873"/>
      <c r="S101" s="2873"/>
      <c r="T101" s="1631"/>
      <c r="U101" s="1631"/>
      <c r="V101" s="1638"/>
    </row>
    <row r="102" spans="2:23" ht="12" customHeight="1">
      <c r="W102" s="1635"/>
    </row>
    <row r="103" spans="2:23">
      <c r="W103" s="1635"/>
    </row>
  </sheetData>
  <mergeCells count="177">
    <mergeCell ref="M21:S21"/>
    <mergeCell ref="N10:O10"/>
    <mergeCell ref="N16:O16"/>
    <mergeCell ref="N9:O9"/>
    <mergeCell ref="N12:O12"/>
    <mergeCell ref="J17:S17"/>
    <mergeCell ref="J14:S14"/>
    <mergeCell ref="N15:O15"/>
    <mergeCell ref="F13:G13"/>
    <mergeCell ref="H13:I13"/>
    <mergeCell ref="J13:S13"/>
    <mergeCell ref="J11:S11"/>
    <mergeCell ref="D7:E7"/>
    <mergeCell ref="F7:G7"/>
    <mergeCell ref="H7:I7"/>
    <mergeCell ref="B4:C5"/>
    <mergeCell ref="D4:I4"/>
    <mergeCell ref="D5:E5"/>
    <mergeCell ref="F5:G5"/>
    <mergeCell ref="H5:I5"/>
    <mergeCell ref="J4:S5"/>
    <mergeCell ref="J7:S7"/>
    <mergeCell ref="J6:S6"/>
    <mergeCell ref="D9:E9"/>
    <mergeCell ref="F9:G9"/>
    <mergeCell ref="H9:I9"/>
    <mergeCell ref="J9:K9"/>
    <mergeCell ref="L9:M9"/>
    <mergeCell ref="D12:E12"/>
    <mergeCell ref="F12:G12"/>
    <mergeCell ref="H12:I12"/>
    <mergeCell ref="J12:K12"/>
    <mergeCell ref="L12:M12"/>
    <mergeCell ref="D11:E11"/>
    <mergeCell ref="F11:G11"/>
    <mergeCell ref="H11:I11"/>
    <mergeCell ref="H8:I8"/>
    <mergeCell ref="D10:E10"/>
    <mergeCell ref="F10:G10"/>
    <mergeCell ref="H10:I10"/>
    <mergeCell ref="J10:K10"/>
    <mergeCell ref="L10:M10"/>
    <mergeCell ref="J8:S8"/>
    <mergeCell ref="B20:C20"/>
    <mergeCell ref="B21:C21"/>
    <mergeCell ref="D21:L21"/>
    <mergeCell ref="B17:C17"/>
    <mergeCell ref="D17:E17"/>
    <mergeCell ref="F17:G17"/>
    <mergeCell ref="H17:I17"/>
    <mergeCell ref="B6:B16"/>
    <mergeCell ref="D6:E6"/>
    <mergeCell ref="F6:G6"/>
    <mergeCell ref="H6:I6"/>
    <mergeCell ref="D8:E8"/>
    <mergeCell ref="F8:G8"/>
    <mergeCell ref="D14:E14"/>
    <mergeCell ref="F14:G14"/>
    <mergeCell ref="H14:I14"/>
    <mergeCell ref="D13:E13"/>
    <mergeCell ref="D15:E15"/>
    <mergeCell ref="F15:G15"/>
    <mergeCell ref="H15:I15"/>
    <mergeCell ref="B24:C24"/>
    <mergeCell ref="D24:L24"/>
    <mergeCell ref="B25:C25"/>
    <mergeCell ref="B26:C26"/>
    <mergeCell ref="B27:C27"/>
    <mergeCell ref="D27:L27"/>
    <mergeCell ref="B22:C22"/>
    <mergeCell ref="D22:L22"/>
    <mergeCell ref="B23:C23"/>
    <mergeCell ref="D23:L23"/>
    <mergeCell ref="D16:E16"/>
    <mergeCell ref="F16:G16"/>
    <mergeCell ref="H16:I16"/>
    <mergeCell ref="J16:K16"/>
    <mergeCell ref="L16:M16"/>
    <mergeCell ref="J15:K15"/>
    <mergeCell ref="L15:M15"/>
    <mergeCell ref="M27:S27"/>
    <mergeCell ref="M24:S24"/>
    <mergeCell ref="M23:S23"/>
    <mergeCell ref="M22:S22"/>
    <mergeCell ref="B31:C31"/>
    <mergeCell ref="D31:W31"/>
    <mergeCell ref="B32:C32"/>
    <mergeCell ref="D32:W32"/>
    <mergeCell ref="B35:C35"/>
    <mergeCell ref="R36:S36"/>
    <mergeCell ref="B28:C28"/>
    <mergeCell ref="B29:C29"/>
    <mergeCell ref="D29:L29"/>
    <mergeCell ref="B30:C30"/>
    <mergeCell ref="D30:L30"/>
    <mergeCell ref="M30:S30"/>
    <mergeCell ref="M29:S29"/>
    <mergeCell ref="B45:B46"/>
    <mergeCell ref="R45:S45"/>
    <mergeCell ref="R46:S46"/>
    <mergeCell ref="B47:B48"/>
    <mergeCell ref="R47:S47"/>
    <mergeCell ref="R48:S48"/>
    <mergeCell ref="R37:S37"/>
    <mergeCell ref="R38:S38"/>
    <mergeCell ref="R39:S39"/>
    <mergeCell ref="R40:S40"/>
    <mergeCell ref="R41:S41"/>
    <mergeCell ref="B43:C43"/>
    <mergeCell ref="V49:AA51"/>
    <mergeCell ref="R50:S50"/>
    <mergeCell ref="R51:S51"/>
    <mergeCell ref="R52:S52"/>
    <mergeCell ref="R53:S53"/>
    <mergeCell ref="R54:S54"/>
    <mergeCell ref="R55:S55"/>
    <mergeCell ref="R56:S56"/>
    <mergeCell ref="R44:S44"/>
    <mergeCell ref="W44:Y45"/>
    <mergeCell ref="R57:S57"/>
    <mergeCell ref="R58:S58"/>
    <mergeCell ref="R59:S59"/>
    <mergeCell ref="R60:S60"/>
    <mergeCell ref="B61:B62"/>
    <mergeCell ref="R61:S61"/>
    <mergeCell ref="R62:S62"/>
    <mergeCell ref="B49:B60"/>
    <mergeCell ref="R49:S49"/>
    <mergeCell ref="R72:S72"/>
    <mergeCell ref="R73:S73"/>
    <mergeCell ref="B74:B75"/>
    <mergeCell ref="R74:S74"/>
    <mergeCell ref="R75:S75"/>
    <mergeCell ref="B76:B77"/>
    <mergeCell ref="R76:S76"/>
    <mergeCell ref="R77:S77"/>
    <mergeCell ref="B63:B73"/>
    <mergeCell ref="R63:S63"/>
    <mergeCell ref="R64:S64"/>
    <mergeCell ref="R65:S65"/>
    <mergeCell ref="R66:S66"/>
    <mergeCell ref="R67:S67"/>
    <mergeCell ref="R68:S68"/>
    <mergeCell ref="R69:S69"/>
    <mergeCell ref="R70:S70"/>
    <mergeCell ref="R71:S71"/>
    <mergeCell ref="R87:S87"/>
    <mergeCell ref="R88:S88"/>
    <mergeCell ref="B89:B92"/>
    <mergeCell ref="R89:S89"/>
    <mergeCell ref="R90:S90"/>
    <mergeCell ref="R91:S91"/>
    <mergeCell ref="R92:S92"/>
    <mergeCell ref="B78:B87"/>
    <mergeCell ref="R78:S78"/>
    <mergeCell ref="R79:S79"/>
    <mergeCell ref="R80:S80"/>
    <mergeCell ref="R81:S81"/>
    <mergeCell ref="R82:S82"/>
    <mergeCell ref="R83:S83"/>
    <mergeCell ref="R84:S84"/>
    <mergeCell ref="R85:S85"/>
    <mergeCell ref="R86:S86"/>
    <mergeCell ref="B101:C101"/>
    <mergeCell ref="R101:S101"/>
    <mergeCell ref="B97:B98"/>
    <mergeCell ref="R97:S97"/>
    <mergeCell ref="R98:S98"/>
    <mergeCell ref="B99:B100"/>
    <mergeCell ref="R99:S99"/>
    <mergeCell ref="R100:S100"/>
    <mergeCell ref="B93:C93"/>
    <mergeCell ref="R93:S93"/>
    <mergeCell ref="B94:B96"/>
    <mergeCell ref="R94:S94"/>
    <mergeCell ref="R95:S95"/>
    <mergeCell ref="R96:S96"/>
  </mergeCells>
  <phoneticPr fontId="6" type="noConversion"/>
  <pageMargins left="0.70866141732283472" right="0.70866141732283472" top="0.74803149606299213" bottom="0.74803149606299213" header="0.31496062992125984" footer="0.31496062992125984"/>
  <pageSetup paperSize="9" scale="43" orientation="portrait" r:id="rId1"/>
  <ignoredErrors>
    <ignoredError sqref="P37:Q37 P39:Q40 P38" numberStoredAsText="1"/>
    <ignoredError sqref="P41:Q41" numberStoredAsText="1" unlockedFormula="1"/>
  </ignoredErrors>
  <legacy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59999389629810485"/>
  </sheetPr>
  <dimension ref="A1:AD184"/>
  <sheetViews>
    <sheetView showGridLines="0" view="pageBreakPreview" zoomScale="85" zoomScaleNormal="75" zoomScaleSheetLayoutView="85" workbookViewId="0">
      <selection activeCell="B2" sqref="B2"/>
    </sheetView>
  </sheetViews>
  <sheetFormatPr defaultColWidth="10" defaultRowHeight="15"/>
  <cols>
    <col min="1" max="1" width="1.625" style="1642" customWidth="1"/>
    <col min="2" max="2" width="11.125" style="1642" customWidth="1"/>
    <col min="3" max="14" width="12.625" style="1642" customWidth="1"/>
    <col min="15" max="15" width="13.5" style="1642" customWidth="1"/>
    <col min="16" max="16" width="2.25" style="1733" customWidth="1"/>
    <col min="17" max="17" width="22.375" style="1642" customWidth="1"/>
    <col min="18" max="18" width="10" style="1734" bestFit="1" customWidth="1"/>
    <col min="19" max="20" width="7.5" style="1642" bestFit="1" customWidth="1"/>
    <col min="21" max="21" width="6.75" style="1642" bestFit="1" customWidth="1"/>
    <col min="22" max="22" width="8.625" style="1642" bestFit="1" customWidth="1"/>
    <col min="23" max="23" width="7.25" style="1642" customWidth="1"/>
    <col min="24" max="29" width="7.5" style="1642" customWidth="1"/>
    <col min="30" max="252" width="10" style="1642"/>
    <col min="253" max="253" width="1.625" style="1642" customWidth="1"/>
    <col min="254" max="254" width="11.125" style="1642" customWidth="1"/>
    <col min="255" max="267" width="9.625" style="1642" customWidth="1"/>
    <col min="268" max="268" width="10" style="1642"/>
    <col min="269" max="269" width="10.875" style="1642" bestFit="1" customWidth="1"/>
    <col min="270" max="508" width="10" style="1642"/>
    <col min="509" max="509" width="1.625" style="1642" customWidth="1"/>
    <col min="510" max="510" width="11.125" style="1642" customWidth="1"/>
    <col min="511" max="523" width="9.625" style="1642" customWidth="1"/>
    <col min="524" max="524" width="10" style="1642"/>
    <col min="525" max="525" width="10.875" style="1642" bestFit="1" customWidth="1"/>
    <col min="526" max="764" width="10" style="1642"/>
    <col min="765" max="765" width="1.625" style="1642" customWidth="1"/>
    <col min="766" max="766" width="11.125" style="1642" customWidth="1"/>
    <col min="767" max="779" width="9.625" style="1642" customWidth="1"/>
    <col min="780" max="780" width="10" style="1642"/>
    <col min="781" max="781" width="10.875" style="1642" bestFit="1" customWidth="1"/>
    <col min="782" max="1020" width="10" style="1642"/>
    <col min="1021" max="1021" width="1.625" style="1642" customWidth="1"/>
    <col min="1022" max="1022" width="11.125" style="1642" customWidth="1"/>
    <col min="1023" max="1035" width="9.625" style="1642" customWidth="1"/>
    <col min="1036" max="1036" width="10" style="1642"/>
    <col min="1037" max="1037" width="10.875" style="1642" bestFit="1" customWidth="1"/>
    <col min="1038" max="1276" width="10" style="1642"/>
    <col min="1277" max="1277" width="1.625" style="1642" customWidth="1"/>
    <col min="1278" max="1278" width="11.125" style="1642" customWidth="1"/>
    <col min="1279" max="1291" width="9.625" style="1642" customWidth="1"/>
    <col min="1292" max="1292" width="10" style="1642"/>
    <col min="1293" max="1293" width="10.875" style="1642" bestFit="1" customWidth="1"/>
    <col min="1294" max="1532" width="10" style="1642"/>
    <col min="1533" max="1533" width="1.625" style="1642" customWidth="1"/>
    <col min="1534" max="1534" width="11.125" style="1642" customWidth="1"/>
    <col min="1535" max="1547" width="9.625" style="1642" customWidth="1"/>
    <col min="1548" max="1548" width="10" style="1642"/>
    <col min="1549" max="1549" width="10.875" style="1642" bestFit="1" customWidth="1"/>
    <col min="1550" max="1788" width="10" style="1642"/>
    <col min="1789" max="1789" width="1.625" style="1642" customWidth="1"/>
    <col min="1790" max="1790" width="11.125" style="1642" customWidth="1"/>
    <col min="1791" max="1803" width="9.625" style="1642" customWidth="1"/>
    <col min="1804" max="1804" width="10" style="1642"/>
    <col min="1805" max="1805" width="10.875" style="1642" bestFit="1" customWidth="1"/>
    <col min="1806" max="2044" width="10" style="1642"/>
    <col min="2045" max="2045" width="1.625" style="1642" customWidth="1"/>
    <col min="2046" max="2046" width="11.125" style="1642" customWidth="1"/>
    <col min="2047" max="2059" width="9.625" style="1642" customWidth="1"/>
    <col min="2060" max="2060" width="10" style="1642"/>
    <col min="2061" max="2061" width="10.875" style="1642" bestFit="1" customWidth="1"/>
    <col min="2062" max="2300" width="10" style="1642"/>
    <col min="2301" max="2301" width="1.625" style="1642" customWidth="1"/>
    <col min="2302" max="2302" width="11.125" style="1642" customWidth="1"/>
    <col min="2303" max="2315" width="9.625" style="1642" customWidth="1"/>
    <col min="2316" max="2316" width="10" style="1642"/>
    <col min="2317" max="2317" width="10.875" style="1642" bestFit="1" customWidth="1"/>
    <col min="2318" max="2556" width="10" style="1642"/>
    <col min="2557" max="2557" width="1.625" style="1642" customWidth="1"/>
    <col min="2558" max="2558" width="11.125" style="1642" customWidth="1"/>
    <col min="2559" max="2571" width="9.625" style="1642" customWidth="1"/>
    <col min="2572" max="2572" width="10" style="1642"/>
    <col min="2573" max="2573" width="10.875" style="1642" bestFit="1" customWidth="1"/>
    <col min="2574" max="2812" width="10" style="1642"/>
    <col min="2813" max="2813" width="1.625" style="1642" customWidth="1"/>
    <col min="2814" max="2814" width="11.125" style="1642" customWidth="1"/>
    <col min="2815" max="2827" width="9.625" style="1642" customWidth="1"/>
    <col min="2828" max="2828" width="10" style="1642"/>
    <col min="2829" max="2829" width="10.875" style="1642" bestFit="1" customWidth="1"/>
    <col min="2830" max="3068" width="10" style="1642"/>
    <col min="3069" max="3069" width="1.625" style="1642" customWidth="1"/>
    <col min="3070" max="3070" width="11.125" style="1642" customWidth="1"/>
    <col min="3071" max="3083" width="9.625" style="1642" customWidth="1"/>
    <col min="3084" max="3084" width="10" style="1642"/>
    <col min="3085" max="3085" width="10.875" style="1642" bestFit="1" customWidth="1"/>
    <col min="3086" max="3324" width="10" style="1642"/>
    <col min="3325" max="3325" width="1.625" style="1642" customWidth="1"/>
    <col min="3326" max="3326" width="11.125" style="1642" customWidth="1"/>
    <col min="3327" max="3339" width="9.625" style="1642" customWidth="1"/>
    <col min="3340" max="3340" width="10" style="1642"/>
    <col min="3341" max="3341" width="10.875" style="1642" bestFit="1" customWidth="1"/>
    <col min="3342" max="3580" width="10" style="1642"/>
    <col min="3581" max="3581" width="1.625" style="1642" customWidth="1"/>
    <col min="3582" max="3582" width="11.125" style="1642" customWidth="1"/>
    <col min="3583" max="3595" width="9.625" style="1642" customWidth="1"/>
    <col min="3596" max="3596" width="10" style="1642"/>
    <col min="3597" max="3597" width="10.875" style="1642" bestFit="1" customWidth="1"/>
    <col min="3598" max="3836" width="10" style="1642"/>
    <col min="3837" max="3837" width="1.625" style="1642" customWidth="1"/>
    <col min="3838" max="3838" width="11.125" style="1642" customWidth="1"/>
    <col min="3839" max="3851" width="9.625" style="1642" customWidth="1"/>
    <col min="3852" max="3852" width="10" style="1642"/>
    <col min="3853" max="3853" width="10.875" style="1642" bestFit="1" customWidth="1"/>
    <col min="3854" max="4092" width="10" style="1642"/>
    <col min="4093" max="4093" width="1.625" style="1642" customWidth="1"/>
    <col min="4094" max="4094" width="11.125" style="1642" customWidth="1"/>
    <col min="4095" max="4107" width="9.625" style="1642" customWidth="1"/>
    <col min="4108" max="4108" width="10" style="1642"/>
    <col min="4109" max="4109" width="10.875" style="1642" bestFit="1" customWidth="1"/>
    <col min="4110" max="4348" width="10" style="1642"/>
    <col min="4349" max="4349" width="1.625" style="1642" customWidth="1"/>
    <col min="4350" max="4350" width="11.125" style="1642" customWidth="1"/>
    <col min="4351" max="4363" width="9.625" style="1642" customWidth="1"/>
    <col min="4364" max="4364" width="10" style="1642"/>
    <col min="4365" max="4365" width="10.875" style="1642" bestFit="1" customWidth="1"/>
    <col min="4366" max="4604" width="10" style="1642"/>
    <col min="4605" max="4605" width="1.625" style="1642" customWidth="1"/>
    <col min="4606" max="4606" width="11.125" style="1642" customWidth="1"/>
    <col min="4607" max="4619" width="9.625" style="1642" customWidth="1"/>
    <col min="4620" max="4620" width="10" style="1642"/>
    <col min="4621" max="4621" width="10.875" style="1642" bestFit="1" customWidth="1"/>
    <col min="4622" max="4860" width="10" style="1642"/>
    <col min="4861" max="4861" width="1.625" style="1642" customWidth="1"/>
    <col min="4862" max="4862" width="11.125" style="1642" customWidth="1"/>
    <col min="4863" max="4875" width="9.625" style="1642" customWidth="1"/>
    <col min="4876" max="4876" width="10" style="1642"/>
    <col min="4877" max="4877" width="10.875" style="1642" bestFit="1" customWidth="1"/>
    <col min="4878" max="5116" width="10" style="1642"/>
    <col min="5117" max="5117" width="1.625" style="1642" customWidth="1"/>
    <col min="5118" max="5118" width="11.125" style="1642" customWidth="1"/>
    <col min="5119" max="5131" width="9.625" style="1642" customWidth="1"/>
    <col min="5132" max="5132" width="10" style="1642"/>
    <col min="5133" max="5133" width="10.875" style="1642" bestFit="1" customWidth="1"/>
    <col min="5134" max="5372" width="10" style="1642"/>
    <col min="5373" max="5373" width="1.625" style="1642" customWidth="1"/>
    <col min="5374" max="5374" width="11.125" style="1642" customWidth="1"/>
    <col min="5375" max="5387" width="9.625" style="1642" customWidth="1"/>
    <col min="5388" max="5388" width="10" style="1642"/>
    <col min="5389" max="5389" width="10.875" style="1642" bestFit="1" customWidth="1"/>
    <col min="5390" max="5628" width="10" style="1642"/>
    <col min="5629" max="5629" width="1.625" style="1642" customWidth="1"/>
    <col min="5630" max="5630" width="11.125" style="1642" customWidth="1"/>
    <col min="5631" max="5643" width="9.625" style="1642" customWidth="1"/>
    <col min="5644" max="5644" width="10" style="1642"/>
    <col min="5645" max="5645" width="10.875" style="1642" bestFit="1" customWidth="1"/>
    <col min="5646" max="5884" width="10" style="1642"/>
    <col min="5885" max="5885" width="1.625" style="1642" customWidth="1"/>
    <col min="5886" max="5886" width="11.125" style="1642" customWidth="1"/>
    <col min="5887" max="5899" width="9.625" style="1642" customWidth="1"/>
    <col min="5900" max="5900" width="10" style="1642"/>
    <col min="5901" max="5901" width="10.875" style="1642" bestFit="1" customWidth="1"/>
    <col min="5902" max="6140" width="10" style="1642"/>
    <col min="6141" max="6141" width="1.625" style="1642" customWidth="1"/>
    <col min="6142" max="6142" width="11.125" style="1642" customWidth="1"/>
    <col min="6143" max="6155" width="9.625" style="1642" customWidth="1"/>
    <col min="6156" max="6156" width="10" style="1642"/>
    <col min="6157" max="6157" width="10.875" style="1642" bestFit="1" customWidth="1"/>
    <col min="6158" max="6396" width="10" style="1642"/>
    <col min="6397" max="6397" width="1.625" style="1642" customWidth="1"/>
    <col min="6398" max="6398" width="11.125" style="1642" customWidth="1"/>
    <col min="6399" max="6411" width="9.625" style="1642" customWidth="1"/>
    <col min="6412" max="6412" width="10" style="1642"/>
    <col min="6413" max="6413" width="10.875" style="1642" bestFit="1" customWidth="1"/>
    <col min="6414" max="6652" width="10" style="1642"/>
    <col min="6653" max="6653" width="1.625" style="1642" customWidth="1"/>
    <col min="6654" max="6654" width="11.125" style="1642" customWidth="1"/>
    <col min="6655" max="6667" width="9.625" style="1642" customWidth="1"/>
    <col min="6668" max="6668" width="10" style="1642"/>
    <col min="6669" max="6669" width="10.875" style="1642" bestFit="1" customWidth="1"/>
    <col min="6670" max="6908" width="10" style="1642"/>
    <col min="6909" max="6909" width="1.625" style="1642" customWidth="1"/>
    <col min="6910" max="6910" width="11.125" style="1642" customWidth="1"/>
    <col min="6911" max="6923" width="9.625" style="1642" customWidth="1"/>
    <col min="6924" max="6924" width="10" style="1642"/>
    <col min="6925" max="6925" width="10.875" style="1642" bestFit="1" customWidth="1"/>
    <col min="6926" max="7164" width="10" style="1642"/>
    <col min="7165" max="7165" width="1.625" style="1642" customWidth="1"/>
    <col min="7166" max="7166" width="11.125" style="1642" customWidth="1"/>
    <col min="7167" max="7179" width="9.625" style="1642" customWidth="1"/>
    <col min="7180" max="7180" width="10" style="1642"/>
    <col min="7181" max="7181" width="10.875" style="1642" bestFit="1" customWidth="1"/>
    <col min="7182" max="7420" width="10" style="1642"/>
    <col min="7421" max="7421" width="1.625" style="1642" customWidth="1"/>
    <col min="7422" max="7422" width="11.125" style="1642" customWidth="1"/>
    <col min="7423" max="7435" width="9.625" style="1642" customWidth="1"/>
    <col min="7436" max="7436" width="10" style="1642"/>
    <col min="7437" max="7437" width="10.875" style="1642" bestFit="1" customWidth="1"/>
    <col min="7438" max="7676" width="10" style="1642"/>
    <col min="7677" max="7677" width="1.625" style="1642" customWidth="1"/>
    <col min="7678" max="7678" width="11.125" style="1642" customWidth="1"/>
    <col min="7679" max="7691" width="9.625" style="1642" customWidth="1"/>
    <col min="7692" max="7692" width="10" style="1642"/>
    <col min="7693" max="7693" width="10.875" style="1642" bestFit="1" customWidth="1"/>
    <col min="7694" max="7932" width="10" style="1642"/>
    <col min="7933" max="7933" width="1.625" style="1642" customWidth="1"/>
    <col min="7934" max="7934" width="11.125" style="1642" customWidth="1"/>
    <col min="7935" max="7947" width="9.625" style="1642" customWidth="1"/>
    <col min="7948" max="7948" width="10" style="1642"/>
    <col min="7949" max="7949" width="10.875" style="1642" bestFit="1" customWidth="1"/>
    <col min="7950" max="8188" width="10" style="1642"/>
    <col min="8189" max="8189" width="1.625" style="1642" customWidth="1"/>
    <col min="8190" max="8190" width="11.125" style="1642" customWidth="1"/>
    <col min="8191" max="8203" width="9.625" style="1642" customWidth="1"/>
    <col min="8204" max="8204" width="10" style="1642"/>
    <col min="8205" max="8205" width="10.875" style="1642" bestFit="1" customWidth="1"/>
    <col min="8206" max="8444" width="10" style="1642"/>
    <col min="8445" max="8445" width="1.625" style="1642" customWidth="1"/>
    <col min="8446" max="8446" width="11.125" style="1642" customWidth="1"/>
    <col min="8447" max="8459" width="9.625" style="1642" customWidth="1"/>
    <col min="8460" max="8460" width="10" style="1642"/>
    <col min="8461" max="8461" width="10.875" style="1642" bestFit="1" customWidth="1"/>
    <col min="8462" max="8700" width="10" style="1642"/>
    <col min="8701" max="8701" width="1.625" style="1642" customWidth="1"/>
    <col min="8702" max="8702" width="11.125" style="1642" customWidth="1"/>
    <col min="8703" max="8715" width="9.625" style="1642" customWidth="1"/>
    <col min="8716" max="8716" width="10" style="1642"/>
    <col min="8717" max="8717" width="10.875" style="1642" bestFit="1" customWidth="1"/>
    <col min="8718" max="8956" width="10" style="1642"/>
    <col min="8957" max="8957" width="1.625" style="1642" customWidth="1"/>
    <col min="8958" max="8958" width="11.125" style="1642" customWidth="1"/>
    <col min="8959" max="8971" width="9.625" style="1642" customWidth="1"/>
    <col min="8972" max="8972" width="10" style="1642"/>
    <col min="8973" max="8973" width="10.875" style="1642" bestFit="1" customWidth="1"/>
    <col min="8974" max="9212" width="10" style="1642"/>
    <col min="9213" max="9213" width="1.625" style="1642" customWidth="1"/>
    <col min="9214" max="9214" width="11.125" style="1642" customWidth="1"/>
    <col min="9215" max="9227" width="9.625" style="1642" customWidth="1"/>
    <col min="9228" max="9228" width="10" style="1642"/>
    <col min="9229" max="9229" width="10.875" style="1642" bestFit="1" customWidth="1"/>
    <col min="9230" max="9468" width="10" style="1642"/>
    <col min="9469" max="9469" width="1.625" style="1642" customWidth="1"/>
    <col min="9470" max="9470" width="11.125" style="1642" customWidth="1"/>
    <col min="9471" max="9483" width="9.625" style="1642" customWidth="1"/>
    <col min="9484" max="9484" width="10" style="1642"/>
    <col min="9485" max="9485" width="10.875" style="1642" bestFit="1" customWidth="1"/>
    <col min="9486" max="9724" width="10" style="1642"/>
    <col min="9725" max="9725" width="1.625" style="1642" customWidth="1"/>
    <col min="9726" max="9726" width="11.125" style="1642" customWidth="1"/>
    <col min="9727" max="9739" width="9.625" style="1642" customWidth="1"/>
    <col min="9740" max="9740" width="10" style="1642"/>
    <col min="9741" max="9741" width="10.875" style="1642" bestFit="1" customWidth="1"/>
    <col min="9742" max="9980" width="10" style="1642"/>
    <col min="9981" max="9981" width="1.625" style="1642" customWidth="1"/>
    <col min="9982" max="9982" width="11.125" style="1642" customWidth="1"/>
    <col min="9983" max="9995" width="9.625" style="1642" customWidth="1"/>
    <col min="9996" max="9996" width="10" style="1642"/>
    <col min="9997" max="9997" width="10.875" style="1642" bestFit="1" customWidth="1"/>
    <col min="9998" max="10236" width="10" style="1642"/>
    <col min="10237" max="10237" width="1.625" style="1642" customWidth="1"/>
    <col min="10238" max="10238" width="11.125" style="1642" customWidth="1"/>
    <col min="10239" max="10251" width="9.625" style="1642" customWidth="1"/>
    <col min="10252" max="10252" width="10" style="1642"/>
    <col min="10253" max="10253" width="10.875" style="1642" bestFit="1" customWidth="1"/>
    <col min="10254" max="10492" width="10" style="1642"/>
    <col min="10493" max="10493" width="1.625" style="1642" customWidth="1"/>
    <col min="10494" max="10494" width="11.125" style="1642" customWidth="1"/>
    <col min="10495" max="10507" width="9.625" style="1642" customWidth="1"/>
    <col min="10508" max="10508" width="10" style="1642"/>
    <col min="10509" max="10509" width="10.875" style="1642" bestFit="1" customWidth="1"/>
    <col min="10510" max="10748" width="10" style="1642"/>
    <col min="10749" max="10749" width="1.625" style="1642" customWidth="1"/>
    <col min="10750" max="10750" width="11.125" style="1642" customWidth="1"/>
    <col min="10751" max="10763" width="9.625" style="1642" customWidth="1"/>
    <col min="10764" max="10764" width="10" style="1642"/>
    <col min="10765" max="10765" width="10.875" style="1642" bestFit="1" customWidth="1"/>
    <col min="10766" max="11004" width="10" style="1642"/>
    <col min="11005" max="11005" width="1.625" style="1642" customWidth="1"/>
    <col min="11006" max="11006" width="11.125" style="1642" customWidth="1"/>
    <col min="11007" max="11019" width="9.625" style="1642" customWidth="1"/>
    <col min="11020" max="11020" width="10" style="1642"/>
    <col min="11021" max="11021" width="10.875" style="1642" bestFit="1" customWidth="1"/>
    <col min="11022" max="11260" width="10" style="1642"/>
    <col min="11261" max="11261" width="1.625" style="1642" customWidth="1"/>
    <col min="11262" max="11262" width="11.125" style="1642" customWidth="1"/>
    <col min="11263" max="11275" width="9.625" style="1642" customWidth="1"/>
    <col min="11276" max="11276" width="10" style="1642"/>
    <col min="11277" max="11277" width="10.875" style="1642" bestFit="1" customWidth="1"/>
    <col min="11278" max="11516" width="10" style="1642"/>
    <col min="11517" max="11517" width="1.625" style="1642" customWidth="1"/>
    <col min="11518" max="11518" width="11.125" style="1642" customWidth="1"/>
    <col min="11519" max="11531" width="9.625" style="1642" customWidth="1"/>
    <col min="11532" max="11532" width="10" style="1642"/>
    <col min="11533" max="11533" width="10.875" style="1642" bestFit="1" customWidth="1"/>
    <col min="11534" max="11772" width="10" style="1642"/>
    <col min="11773" max="11773" width="1.625" style="1642" customWidth="1"/>
    <col min="11774" max="11774" width="11.125" style="1642" customWidth="1"/>
    <col min="11775" max="11787" width="9.625" style="1642" customWidth="1"/>
    <col min="11788" max="11788" width="10" style="1642"/>
    <col min="11789" max="11789" width="10.875" style="1642" bestFit="1" customWidth="1"/>
    <col min="11790" max="12028" width="10" style="1642"/>
    <col min="12029" max="12029" width="1.625" style="1642" customWidth="1"/>
    <col min="12030" max="12030" width="11.125" style="1642" customWidth="1"/>
    <col min="12031" max="12043" width="9.625" style="1642" customWidth="1"/>
    <col min="12044" max="12044" width="10" style="1642"/>
    <col min="12045" max="12045" width="10.875" style="1642" bestFit="1" customWidth="1"/>
    <col min="12046" max="12284" width="10" style="1642"/>
    <col min="12285" max="12285" width="1.625" style="1642" customWidth="1"/>
    <col min="12286" max="12286" width="11.125" style="1642" customWidth="1"/>
    <col min="12287" max="12299" width="9.625" style="1642" customWidth="1"/>
    <col min="12300" max="12300" width="10" style="1642"/>
    <col min="12301" max="12301" width="10.875" style="1642" bestFit="1" customWidth="1"/>
    <col min="12302" max="12540" width="10" style="1642"/>
    <col min="12541" max="12541" width="1.625" style="1642" customWidth="1"/>
    <col min="12542" max="12542" width="11.125" style="1642" customWidth="1"/>
    <col min="12543" max="12555" width="9.625" style="1642" customWidth="1"/>
    <col min="12556" max="12556" width="10" style="1642"/>
    <col min="12557" max="12557" width="10.875" style="1642" bestFit="1" customWidth="1"/>
    <col min="12558" max="12796" width="10" style="1642"/>
    <col min="12797" max="12797" width="1.625" style="1642" customWidth="1"/>
    <col min="12798" max="12798" width="11.125" style="1642" customWidth="1"/>
    <col min="12799" max="12811" width="9.625" style="1642" customWidth="1"/>
    <col min="12812" max="12812" width="10" style="1642"/>
    <col min="12813" max="12813" width="10.875" style="1642" bestFit="1" customWidth="1"/>
    <col min="12814" max="13052" width="10" style="1642"/>
    <col min="13053" max="13053" width="1.625" style="1642" customWidth="1"/>
    <col min="13054" max="13054" width="11.125" style="1642" customWidth="1"/>
    <col min="13055" max="13067" width="9.625" style="1642" customWidth="1"/>
    <col min="13068" max="13068" width="10" style="1642"/>
    <col min="13069" max="13069" width="10.875" style="1642" bestFit="1" customWidth="1"/>
    <col min="13070" max="13308" width="10" style="1642"/>
    <col min="13309" max="13309" width="1.625" style="1642" customWidth="1"/>
    <col min="13310" max="13310" width="11.125" style="1642" customWidth="1"/>
    <col min="13311" max="13323" width="9.625" style="1642" customWidth="1"/>
    <col min="13324" max="13324" width="10" style="1642"/>
    <col min="13325" max="13325" width="10.875" style="1642" bestFit="1" customWidth="1"/>
    <col min="13326" max="13564" width="10" style="1642"/>
    <col min="13565" max="13565" width="1.625" style="1642" customWidth="1"/>
    <col min="13566" max="13566" width="11.125" style="1642" customWidth="1"/>
    <col min="13567" max="13579" width="9.625" style="1642" customWidth="1"/>
    <col min="13580" max="13580" width="10" style="1642"/>
    <col min="13581" max="13581" width="10.875" style="1642" bestFit="1" customWidth="1"/>
    <col min="13582" max="13820" width="10" style="1642"/>
    <col min="13821" max="13821" width="1.625" style="1642" customWidth="1"/>
    <col min="13822" max="13822" width="11.125" style="1642" customWidth="1"/>
    <col min="13823" max="13835" width="9.625" style="1642" customWidth="1"/>
    <col min="13836" max="13836" width="10" style="1642"/>
    <col min="13837" max="13837" width="10.875" style="1642" bestFit="1" customWidth="1"/>
    <col min="13838" max="14076" width="10" style="1642"/>
    <col min="14077" max="14077" width="1.625" style="1642" customWidth="1"/>
    <col min="14078" max="14078" width="11.125" style="1642" customWidth="1"/>
    <col min="14079" max="14091" width="9.625" style="1642" customWidth="1"/>
    <col min="14092" max="14092" width="10" style="1642"/>
    <col min="14093" max="14093" width="10.875" style="1642" bestFit="1" customWidth="1"/>
    <col min="14094" max="14332" width="10" style="1642"/>
    <col min="14333" max="14333" width="1.625" style="1642" customWidth="1"/>
    <col min="14334" max="14334" width="11.125" style="1642" customWidth="1"/>
    <col min="14335" max="14347" width="9.625" style="1642" customWidth="1"/>
    <col min="14348" max="14348" width="10" style="1642"/>
    <col min="14349" max="14349" width="10.875" style="1642" bestFit="1" customWidth="1"/>
    <col min="14350" max="14588" width="10" style="1642"/>
    <col min="14589" max="14589" width="1.625" style="1642" customWidth="1"/>
    <col min="14590" max="14590" width="11.125" style="1642" customWidth="1"/>
    <col min="14591" max="14603" width="9.625" style="1642" customWidth="1"/>
    <col min="14604" max="14604" width="10" style="1642"/>
    <col min="14605" max="14605" width="10.875" style="1642" bestFit="1" customWidth="1"/>
    <col min="14606" max="14844" width="10" style="1642"/>
    <col min="14845" max="14845" width="1.625" style="1642" customWidth="1"/>
    <col min="14846" max="14846" width="11.125" style="1642" customWidth="1"/>
    <col min="14847" max="14859" width="9.625" style="1642" customWidth="1"/>
    <col min="14860" max="14860" width="10" style="1642"/>
    <col min="14861" max="14861" width="10.875" style="1642" bestFit="1" customWidth="1"/>
    <col min="14862" max="15100" width="10" style="1642"/>
    <col min="15101" max="15101" width="1.625" style="1642" customWidth="1"/>
    <col min="15102" max="15102" width="11.125" style="1642" customWidth="1"/>
    <col min="15103" max="15115" width="9.625" style="1642" customWidth="1"/>
    <col min="15116" max="15116" width="10" style="1642"/>
    <col min="15117" max="15117" width="10.875" style="1642" bestFit="1" customWidth="1"/>
    <col min="15118" max="15356" width="10" style="1642"/>
    <col min="15357" max="15357" width="1.625" style="1642" customWidth="1"/>
    <col min="15358" max="15358" width="11.125" style="1642" customWidth="1"/>
    <col min="15359" max="15371" width="9.625" style="1642" customWidth="1"/>
    <col min="15372" max="15372" width="10" style="1642"/>
    <col min="15373" max="15373" width="10.875" style="1642" bestFit="1" customWidth="1"/>
    <col min="15374" max="15612" width="10" style="1642"/>
    <col min="15613" max="15613" width="1.625" style="1642" customWidth="1"/>
    <col min="15614" max="15614" width="11.125" style="1642" customWidth="1"/>
    <col min="15615" max="15627" width="9.625" style="1642" customWidth="1"/>
    <col min="15628" max="15628" width="10" style="1642"/>
    <col min="15629" max="15629" width="10.875" style="1642" bestFit="1" customWidth="1"/>
    <col min="15630" max="15868" width="10" style="1642"/>
    <col min="15869" max="15869" width="1.625" style="1642" customWidth="1"/>
    <col min="15870" max="15870" width="11.125" style="1642" customWidth="1"/>
    <col min="15871" max="15883" width="9.625" style="1642" customWidth="1"/>
    <col min="15884" max="15884" width="10" style="1642"/>
    <col min="15885" max="15885" width="10.875" style="1642" bestFit="1" customWidth="1"/>
    <col min="15886" max="16124" width="10" style="1642"/>
    <col min="16125" max="16125" width="1.625" style="1642" customWidth="1"/>
    <col min="16126" max="16126" width="11.125" style="1642" customWidth="1"/>
    <col min="16127" max="16139" width="9.625" style="1642" customWidth="1"/>
    <col min="16140" max="16140" width="10" style="1642"/>
    <col min="16141" max="16141" width="10.875" style="1642" bestFit="1" customWidth="1"/>
    <col min="16142" max="16384" width="10" style="1642"/>
  </cols>
  <sheetData>
    <row r="1" spans="1:18" ht="15.6" customHeight="1">
      <c r="P1" s="1643"/>
      <c r="Q1" s="2930" t="s">
        <v>1111</v>
      </c>
      <c r="R1" s="2930"/>
    </row>
    <row r="2" spans="1:18" s="1739" customFormat="1" ht="27.6" customHeight="1">
      <c r="A2" s="1639"/>
      <c r="B2" s="2114" t="s">
        <v>1448</v>
      </c>
      <c r="C2" s="1639"/>
      <c r="D2" s="1639"/>
      <c r="E2" s="1639"/>
      <c r="F2" s="1639"/>
      <c r="G2" s="1639"/>
      <c r="H2" s="1639"/>
      <c r="I2" s="1639"/>
      <c r="J2" s="1639"/>
      <c r="K2" s="1639"/>
      <c r="L2" s="1639"/>
      <c r="M2" s="1639"/>
      <c r="N2" s="1737"/>
      <c r="O2" s="1639"/>
      <c r="P2" s="1738"/>
      <c r="Q2" s="2930"/>
      <c r="R2" s="2930"/>
    </row>
    <row r="3" spans="1:18">
      <c r="B3" s="1644"/>
      <c r="D3" s="1645"/>
      <c r="L3" s="1646"/>
      <c r="N3" s="1647">
        <v>27882.22</v>
      </c>
      <c r="O3" s="1647">
        <v>5749.7627000000002</v>
      </c>
      <c r="P3" s="1643"/>
      <c r="Q3" s="2930"/>
      <c r="R3" s="2930"/>
    </row>
    <row r="4" spans="1:18" ht="8.25" customHeight="1">
      <c r="C4" s="971"/>
      <c r="D4" s="971"/>
      <c r="E4" s="971"/>
      <c r="F4" s="971"/>
      <c r="G4" s="971"/>
      <c r="H4" s="971"/>
      <c r="I4" s="971"/>
      <c r="J4" s="971"/>
      <c r="K4" s="971"/>
      <c r="L4" s="971"/>
      <c r="M4" s="971"/>
      <c r="N4" s="971"/>
      <c r="O4" s="971"/>
      <c r="P4" s="1643"/>
      <c r="Q4" s="2930"/>
      <c r="R4" s="2930"/>
    </row>
    <row r="5" spans="1:18" s="1648" customFormat="1">
      <c r="B5" s="2931" t="s">
        <v>1112</v>
      </c>
      <c r="C5" s="2931"/>
      <c r="D5" s="2931"/>
      <c r="E5" s="1649"/>
      <c r="F5" s="1649"/>
      <c r="G5" s="1649"/>
      <c r="H5" s="1649"/>
      <c r="I5" s="1649"/>
      <c r="J5" s="1649"/>
      <c r="K5" s="1649"/>
      <c r="L5" s="1649"/>
      <c r="M5" s="2932" t="s">
        <v>1113</v>
      </c>
      <c r="N5" s="2932"/>
      <c r="O5" s="2932"/>
      <c r="P5" s="1643"/>
      <c r="R5" s="1650"/>
    </row>
    <row r="6" spans="1:18" s="1651" customFormat="1">
      <c r="B6" s="2139" t="s">
        <v>1114</v>
      </c>
      <c r="C6" s="2140" t="s">
        <v>1115</v>
      </c>
      <c r="D6" s="2140" t="s">
        <v>264</v>
      </c>
      <c r="E6" s="2140" t="s">
        <v>265</v>
      </c>
      <c r="F6" s="2140" t="s">
        <v>368</v>
      </c>
      <c r="G6" s="2140" t="s">
        <v>369</v>
      </c>
      <c r="H6" s="2140" t="s">
        <v>370</v>
      </c>
      <c r="I6" s="2140" t="s">
        <v>371</v>
      </c>
      <c r="J6" s="2140" t="s">
        <v>260</v>
      </c>
      <c r="K6" s="2140" t="s">
        <v>261</v>
      </c>
      <c r="L6" s="2140" t="s">
        <v>372</v>
      </c>
      <c r="M6" s="2140" t="s">
        <v>262</v>
      </c>
      <c r="N6" s="2140" t="s">
        <v>263</v>
      </c>
      <c r="O6" s="2141" t="s">
        <v>373</v>
      </c>
      <c r="P6" s="1643"/>
      <c r="R6" s="1652"/>
    </row>
    <row r="7" spans="1:18" s="1653" customFormat="1" hidden="1">
      <c r="B7" s="1654">
        <v>2017</v>
      </c>
      <c r="C7" s="1655">
        <v>303046</v>
      </c>
      <c r="D7" s="1655">
        <v>272015</v>
      </c>
      <c r="E7" s="1655">
        <v>282919</v>
      </c>
      <c r="F7" s="1655">
        <v>268858</v>
      </c>
      <c r="G7" s="1655">
        <v>314998</v>
      </c>
      <c r="H7" s="1655">
        <v>324379</v>
      </c>
      <c r="I7" s="1655">
        <v>355053</v>
      </c>
      <c r="J7" s="1655">
        <v>341443</v>
      </c>
      <c r="K7" s="1655">
        <v>304193</v>
      </c>
      <c r="L7" s="1655">
        <v>261512</v>
      </c>
      <c r="M7" s="1655">
        <v>256002</v>
      </c>
      <c r="N7" s="1655">
        <v>287363</v>
      </c>
      <c r="O7" s="1656">
        <f>SUM(C7:N7)</f>
        <v>3571781</v>
      </c>
      <c r="P7" s="1643"/>
      <c r="R7" s="1657"/>
    </row>
    <row r="8" spans="1:18" s="1658" customFormat="1" hidden="1">
      <c r="B8" s="1659" t="s">
        <v>374</v>
      </c>
      <c r="C8" s="1660">
        <f>C7/31</f>
        <v>9775.677419354839</v>
      </c>
      <c r="D8" s="1660">
        <f>D7/28</f>
        <v>9714.8214285714294</v>
      </c>
      <c r="E8" s="1660">
        <f>E7/31</f>
        <v>9126.4193548387102</v>
      </c>
      <c r="F8" s="1660">
        <f>F7/30</f>
        <v>8961.9333333333325</v>
      </c>
      <c r="G8" s="1660">
        <f>G7/31</f>
        <v>10161.225806451614</v>
      </c>
      <c r="H8" s="1660">
        <f>H7/30</f>
        <v>10812.633333333333</v>
      </c>
      <c r="I8" s="1660">
        <f>I7/31</f>
        <v>11453.322580645161</v>
      </c>
      <c r="J8" s="1660">
        <f>J7/31</f>
        <v>11014.290322580646</v>
      </c>
      <c r="K8" s="1660">
        <f>K7/30</f>
        <v>10139.766666666666</v>
      </c>
      <c r="L8" s="1660">
        <f>L7/31</f>
        <v>8435.8709677419356</v>
      </c>
      <c r="M8" s="1660">
        <f>M7/30</f>
        <v>8533.4</v>
      </c>
      <c r="N8" s="1660">
        <f>N7/31</f>
        <v>9269.7741935483864</v>
      </c>
      <c r="O8" s="1661">
        <f>O7/365</f>
        <v>9785.7013698630144</v>
      </c>
      <c r="P8" s="1643"/>
      <c r="R8" s="1657"/>
    </row>
    <row r="9" spans="1:18" s="1658" customFormat="1" hidden="1">
      <c r="B9" s="1662" t="s">
        <v>375</v>
      </c>
      <c r="C9" s="1663">
        <f t="shared" ref="C9:N9" si="0">C7/$N$3</f>
        <v>10.868790218282475</v>
      </c>
      <c r="D9" s="1663">
        <f t="shared" si="0"/>
        <v>9.7558587515628243</v>
      </c>
      <c r="E9" s="1663">
        <f t="shared" si="0"/>
        <v>10.146932346133127</v>
      </c>
      <c r="F9" s="1663">
        <f t="shared" si="0"/>
        <v>9.6426324733109485</v>
      </c>
      <c r="G9" s="1663">
        <f t="shared" si="0"/>
        <v>11.297450489953812</v>
      </c>
      <c r="H9" s="1663">
        <f t="shared" si="0"/>
        <v>11.633901461217937</v>
      </c>
      <c r="I9" s="1663">
        <f t="shared" si="0"/>
        <v>12.7340290694213</v>
      </c>
      <c r="J9" s="1663">
        <f t="shared" si="0"/>
        <v>12.245904379206534</v>
      </c>
      <c r="K9" s="1663">
        <f t="shared" si="0"/>
        <v>10.909927545224161</v>
      </c>
      <c r="L9" s="1663">
        <f t="shared" si="0"/>
        <v>9.3791670821046527</v>
      </c>
      <c r="M9" s="1663">
        <f t="shared" si="0"/>
        <v>9.1815501061249787</v>
      </c>
      <c r="N9" s="1663">
        <f t="shared" si="0"/>
        <v>10.306317072313467</v>
      </c>
      <c r="O9" s="1664">
        <f>O7/$N$3</f>
        <v>128.10246099485622</v>
      </c>
      <c r="P9" s="1643"/>
      <c r="R9" s="1657"/>
    </row>
    <row r="10" spans="1:18" s="1653" customFormat="1" hidden="1">
      <c r="B10" s="1654">
        <v>2018</v>
      </c>
      <c r="C10" s="1655">
        <v>299561</v>
      </c>
      <c r="D10" s="1655">
        <v>254105</v>
      </c>
      <c r="E10" s="1655">
        <v>235688</v>
      </c>
      <c r="F10" s="1655">
        <v>216765</v>
      </c>
      <c r="G10" s="1655">
        <v>247059</v>
      </c>
      <c r="H10" s="1655">
        <v>252513</v>
      </c>
      <c r="I10" s="1655">
        <v>285865</v>
      </c>
      <c r="J10" s="1655">
        <v>282256</v>
      </c>
      <c r="K10" s="1655">
        <v>233606</v>
      </c>
      <c r="L10" s="1655">
        <v>208977</v>
      </c>
      <c r="M10" s="1655">
        <v>205451</v>
      </c>
      <c r="N10" s="1655">
        <v>249188</v>
      </c>
      <c r="O10" s="1656">
        <f>SUM(C10:N10)</f>
        <v>2971034</v>
      </c>
      <c r="P10" s="1643"/>
      <c r="R10" s="1657"/>
    </row>
    <row r="11" spans="1:18" s="1658" customFormat="1" hidden="1">
      <c r="B11" s="1659" t="s">
        <v>374</v>
      </c>
      <c r="C11" s="1660">
        <f>C10/31</f>
        <v>9663.2580645161288</v>
      </c>
      <c r="D11" s="1660">
        <f>D10/28</f>
        <v>9075.1785714285706</v>
      </c>
      <c r="E11" s="1660">
        <f>E10/31</f>
        <v>7602.8387096774195</v>
      </c>
      <c r="F11" s="1660">
        <f>F10/30</f>
        <v>7225.5</v>
      </c>
      <c r="G11" s="1660">
        <f>G10/31</f>
        <v>7969.6451612903229</v>
      </c>
      <c r="H11" s="1660">
        <f>H10/30</f>
        <v>8417.1</v>
      </c>
      <c r="I11" s="1660">
        <f>I10/31</f>
        <v>9221.4516129032254</v>
      </c>
      <c r="J11" s="1660">
        <f>J10/31</f>
        <v>9105.032258064517</v>
      </c>
      <c r="K11" s="1660">
        <f>K10/30</f>
        <v>7786.8666666666668</v>
      </c>
      <c r="L11" s="1660">
        <f>L10/31</f>
        <v>6741.1935483870966</v>
      </c>
      <c r="M11" s="1660">
        <f>M10/30</f>
        <v>6848.3666666666668</v>
      </c>
      <c r="N11" s="1660">
        <f>N10/31</f>
        <v>8038.322580645161</v>
      </c>
      <c r="O11" s="1661">
        <f>O10/365</f>
        <v>8139.8191780821917</v>
      </c>
      <c r="P11" s="1643"/>
      <c r="R11" s="1657"/>
    </row>
    <row r="12" spans="1:18" s="1658" customFormat="1" hidden="1">
      <c r="B12" s="1662" t="s">
        <v>375</v>
      </c>
      <c r="C12" s="1663">
        <f>C10/$N$3</f>
        <v>10.743800170861574</v>
      </c>
      <c r="D12" s="1663">
        <f t="shared" ref="D12:O12" si="1">D10/$N$3</f>
        <v>9.1135139167541173</v>
      </c>
      <c r="E12" s="1663">
        <f t="shared" si="1"/>
        <v>8.4529854509432898</v>
      </c>
      <c r="F12" s="1663">
        <f t="shared" si="1"/>
        <v>7.7743092192802434</v>
      </c>
      <c r="G12" s="1663">
        <f t="shared" si="1"/>
        <v>8.8608080705194912</v>
      </c>
      <c r="H12" s="1663">
        <f>H10/$N$3</f>
        <v>9.0564165981044553</v>
      </c>
      <c r="I12" s="1663">
        <f t="shared" si="1"/>
        <v>10.252591077754927</v>
      </c>
      <c r="J12" s="1663">
        <f t="shared" si="1"/>
        <v>10.123153751745736</v>
      </c>
      <c r="K12" s="1663">
        <f t="shared" si="1"/>
        <v>8.3783142088398979</v>
      </c>
      <c r="L12" s="1663">
        <f t="shared" si="1"/>
        <v>7.4949914318156869</v>
      </c>
      <c r="M12" s="1663">
        <f t="shared" si="1"/>
        <v>7.3685309132486578</v>
      </c>
      <c r="N12" s="1663">
        <f t="shared" si="1"/>
        <v>8.9371649746684447</v>
      </c>
      <c r="O12" s="1664">
        <f t="shared" si="1"/>
        <v>106.55657978453652</v>
      </c>
      <c r="P12" s="1643"/>
      <c r="R12" s="1657"/>
    </row>
    <row r="13" spans="1:18" s="1658" customFormat="1" hidden="1">
      <c r="B13" s="1654">
        <v>2019</v>
      </c>
      <c r="C13" s="1655">
        <v>257211</v>
      </c>
      <c r="D13" s="1655">
        <v>217269</v>
      </c>
      <c r="E13" s="1655">
        <v>209403</v>
      </c>
      <c r="F13" s="1655">
        <v>204974</v>
      </c>
      <c r="G13" s="1655">
        <v>228994</v>
      </c>
      <c r="H13" s="1655">
        <v>238646</v>
      </c>
      <c r="I13" s="1655">
        <v>270875</v>
      </c>
      <c r="J13" s="1655">
        <v>279045</v>
      </c>
      <c r="K13" s="1655">
        <v>241578</v>
      </c>
      <c r="L13" s="1655">
        <v>215522</v>
      </c>
      <c r="M13" s="1655">
        <v>205950</v>
      </c>
      <c r="N13" s="1655">
        <v>250186</v>
      </c>
      <c r="O13" s="1656">
        <f>SUM(C13:N13)</f>
        <v>2819653</v>
      </c>
      <c r="P13" s="1643"/>
      <c r="Q13" s="1657"/>
      <c r="R13" s="1657"/>
    </row>
    <row r="14" spans="1:18" s="1658" customFormat="1" hidden="1">
      <c r="B14" s="1659" t="s">
        <v>374</v>
      </c>
      <c r="C14" s="1660">
        <f>C13/31</f>
        <v>8297.1290322580644</v>
      </c>
      <c r="D14" s="1660">
        <f>D13/28</f>
        <v>7759.6071428571431</v>
      </c>
      <c r="E14" s="1660">
        <f>E13/31</f>
        <v>6754.9354838709678</v>
      </c>
      <c r="F14" s="1660">
        <f>F13/30</f>
        <v>6832.4666666666662</v>
      </c>
      <c r="G14" s="1660">
        <f>G13/31</f>
        <v>7386.9032258064517</v>
      </c>
      <c r="H14" s="1660">
        <f>H13/30</f>
        <v>7954.8666666666668</v>
      </c>
      <c r="I14" s="1660">
        <f>I13/31</f>
        <v>8737.9032258064508</v>
      </c>
      <c r="J14" s="1660">
        <f>J13/31</f>
        <v>9001.4516129032254</v>
      </c>
      <c r="K14" s="1660">
        <f>K13/30</f>
        <v>8052.6</v>
      </c>
      <c r="L14" s="1660">
        <f>L13/31</f>
        <v>6952.322580645161</v>
      </c>
      <c r="M14" s="1660">
        <f>M13/30</f>
        <v>6865</v>
      </c>
      <c r="N14" s="1660">
        <f>N13/31</f>
        <v>8070.5161290322585</v>
      </c>
      <c r="O14" s="1661">
        <f>O13/365</f>
        <v>7725.0767123287669</v>
      </c>
      <c r="P14" s="1643"/>
      <c r="Q14" s="1657"/>
      <c r="R14" s="1657"/>
    </row>
    <row r="15" spans="1:18" s="1658" customFormat="1" hidden="1">
      <c r="B15" s="1662" t="s">
        <v>375</v>
      </c>
      <c r="C15" s="1663">
        <f t="shared" ref="C15:O15" si="2">C13/$N$3</f>
        <v>9.2249110723608094</v>
      </c>
      <c r="D15" s="1663">
        <f t="shared" si="2"/>
        <v>7.7923852548326495</v>
      </c>
      <c r="E15" s="1663">
        <f t="shared" si="2"/>
        <v>7.5102699856754587</v>
      </c>
      <c r="F15" s="1663">
        <f t="shared" si="2"/>
        <v>7.3514232367437025</v>
      </c>
      <c r="G15" s="1663">
        <f t="shared" si="2"/>
        <v>8.212904137475423</v>
      </c>
      <c r="H15" s="1663">
        <f t="shared" si="2"/>
        <v>8.5590745643639572</v>
      </c>
      <c r="I15" s="1663">
        <f t="shared" si="2"/>
        <v>9.7149724806704771</v>
      </c>
      <c r="J15" s="1663">
        <f t="shared" si="2"/>
        <v>10.007990755398961</v>
      </c>
      <c r="K15" s="1663">
        <f t="shared" si="2"/>
        <v>8.6642311838870789</v>
      </c>
      <c r="L15" s="1663">
        <f t="shared" si="2"/>
        <v>7.7297288379476239</v>
      </c>
      <c r="M15" s="1663">
        <f t="shared" si="2"/>
        <v>7.386427623051536</v>
      </c>
      <c r="N15" s="1663">
        <f t="shared" si="2"/>
        <v>8.9729583942742011</v>
      </c>
      <c r="O15" s="1664">
        <f t="shared" si="2"/>
        <v>101.12727752668188</v>
      </c>
      <c r="P15" s="1643"/>
      <c r="Q15" s="1657"/>
      <c r="R15" s="1657"/>
    </row>
    <row r="16" spans="1:18" s="1658" customFormat="1" hidden="1">
      <c r="B16" s="1654">
        <v>2020</v>
      </c>
      <c r="C16" s="1655">
        <v>257497</v>
      </c>
      <c r="D16" s="1655">
        <v>236133</v>
      </c>
      <c r="E16" s="1655">
        <v>229804</v>
      </c>
      <c r="F16" s="1655">
        <v>211223</v>
      </c>
      <c r="G16" s="1655">
        <v>225148</v>
      </c>
      <c r="H16" s="1655">
        <v>265658</v>
      </c>
      <c r="I16" s="1655">
        <v>287556</v>
      </c>
      <c r="J16" s="1655">
        <v>298241</v>
      </c>
      <c r="K16" s="1655">
        <v>250389</v>
      </c>
      <c r="L16" s="1655">
        <v>210443</v>
      </c>
      <c r="M16" s="1655">
        <v>214893</v>
      </c>
      <c r="N16" s="1655">
        <v>273229</v>
      </c>
      <c r="O16" s="1656">
        <f>SUM(C16:N16)</f>
        <v>2960214</v>
      </c>
      <c r="P16" s="1643"/>
      <c r="Q16" s="1657"/>
      <c r="R16" s="1657"/>
    </row>
    <row r="17" spans="2:29" s="1658" customFormat="1" hidden="1">
      <c r="B17" s="1659" t="s">
        <v>374</v>
      </c>
      <c r="C17" s="1660">
        <f>C16/31</f>
        <v>8306.354838709678</v>
      </c>
      <c r="D17" s="1660">
        <f>D16/29</f>
        <v>8142.5172413793107</v>
      </c>
      <c r="E17" s="1660">
        <f>E16/31</f>
        <v>7413.0322580645161</v>
      </c>
      <c r="F17" s="1660">
        <f>F16/30</f>
        <v>7040.7666666666664</v>
      </c>
      <c r="G17" s="1660">
        <f>G16/31</f>
        <v>7262.8387096774195</v>
      </c>
      <c r="H17" s="1660">
        <f>H16/30</f>
        <v>8855.2666666666664</v>
      </c>
      <c r="I17" s="1660">
        <f>I16/31</f>
        <v>9276</v>
      </c>
      <c r="J17" s="1660">
        <f>J16/31</f>
        <v>9620.677419354839</v>
      </c>
      <c r="K17" s="1660">
        <f>K16/30</f>
        <v>8346.2999999999993</v>
      </c>
      <c r="L17" s="1660">
        <f>L16/31</f>
        <v>6788.4838709677415</v>
      </c>
      <c r="M17" s="1660">
        <f>M16/30</f>
        <v>7163.1</v>
      </c>
      <c r="N17" s="1660">
        <f>N16/31</f>
        <v>8813.8387096774186</v>
      </c>
      <c r="O17" s="1661">
        <f>O16/366</f>
        <v>8088.0163934426228</v>
      </c>
      <c r="P17" s="1643"/>
      <c r="Q17" s="1657"/>
      <c r="R17" s="1657"/>
    </row>
    <row r="18" spans="2:29" s="1658" customFormat="1" hidden="1">
      <c r="B18" s="1662" t="s">
        <v>375</v>
      </c>
      <c r="C18" s="1663">
        <f t="shared" ref="C18:O18" si="3">C16/$N$3</f>
        <v>9.2351685052338013</v>
      </c>
      <c r="D18" s="1663">
        <f t="shared" si="3"/>
        <v>8.4689454426512665</v>
      </c>
      <c r="E18" s="1663">
        <f t="shared" si="3"/>
        <v>8.2419549088989328</v>
      </c>
      <c r="F18" s="1663">
        <f t="shared" si="3"/>
        <v>7.5755445585035908</v>
      </c>
      <c r="G18" s="1663">
        <f t="shared" si="3"/>
        <v>8.0749667709386124</v>
      </c>
      <c r="H18" s="1663">
        <f t="shared" si="3"/>
        <v>9.5278639936131331</v>
      </c>
      <c r="I18" s="1663">
        <f t="shared" si="3"/>
        <v>10.313239046245242</v>
      </c>
      <c r="J18" s="1663">
        <f t="shared" si="3"/>
        <v>10.696458172986226</v>
      </c>
      <c r="K18" s="1663">
        <f t="shared" si="3"/>
        <v>8.9802390197050297</v>
      </c>
      <c r="L18" s="1663">
        <f t="shared" si="3"/>
        <v>7.5475697415772487</v>
      </c>
      <c r="M18" s="1663">
        <f t="shared" si="3"/>
        <v>7.7071696586570217</v>
      </c>
      <c r="N18" s="1663">
        <f t="shared" si="3"/>
        <v>9.7993990435481813</v>
      </c>
      <c r="O18" s="1664">
        <f t="shared" si="3"/>
        <v>106.16851886255829</v>
      </c>
      <c r="P18" s="1643"/>
      <c r="Q18" s="1657"/>
      <c r="R18" s="1657"/>
    </row>
    <row r="19" spans="2:29" s="1658" customFormat="1">
      <c r="B19" s="1654">
        <v>2022</v>
      </c>
      <c r="C19" s="1655">
        <v>314753</v>
      </c>
      <c r="D19" s="1655">
        <v>286892</v>
      </c>
      <c r="E19" s="1655">
        <v>242857</v>
      </c>
      <c r="F19" s="1655">
        <v>213097</v>
      </c>
      <c r="G19" s="1655">
        <v>241564</v>
      </c>
      <c r="H19" s="1655">
        <v>281159</v>
      </c>
      <c r="I19" s="1655">
        <v>336249</v>
      </c>
      <c r="J19" s="1655">
        <v>329983</v>
      </c>
      <c r="K19" s="1655">
        <v>277838</v>
      </c>
      <c r="L19" s="1655">
        <v>223717</v>
      </c>
      <c r="M19" s="1655">
        <v>229676</v>
      </c>
      <c r="N19" s="1655">
        <v>315545</v>
      </c>
      <c r="O19" s="1656">
        <v>3293330</v>
      </c>
      <c r="P19" s="1643"/>
      <c r="Q19" s="1657"/>
      <c r="R19" s="1657"/>
    </row>
    <row r="20" spans="2:29" s="1658" customFormat="1">
      <c r="B20" s="1659" t="s">
        <v>374</v>
      </c>
      <c r="C20" s="1660">
        <v>10153.322580645161</v>
      </c>
      <c r="D20" s="1660">
        <v>10246.142857142857</v>
      </c>
      <c r="E20" s="1660">
        <v>7834.0967741935483</v>
      </c>
      <c r="F20" s="1660">
        <v>7103.2333333333336</v>
      </c>
      <c r="G20" s="1660">
        <v>7792.3870967741932</v>
      </c>
      <c r="H20" s="1660">
        <v>9371.9666666666672</v>
      </c>
      <c r="I20" s="1660">
        <v>10846.741935483871</v>
      </c>
      <c r="J20" s="1660">
        <v>10644.612903225807</v>
      </c>
      <c r="K20" s="1660">
        <v>9261.2666666666664</v>
      </c>
      <c r="L20" s="1660">
        <v>7216.677419354839</v>
      </c>
      <c r="M20" s="1660">
        <v>7655.8666666666668</v>
      </c>
      <c r="N20" s="1660">
        <v>10178.870967741936</v>
      </c>
      <c r="O20" s="1661">
        <v>9022.82191780822</v>
      </c>
      <c r="P20" s="1643"/>
      <c r="Q20" s="1657"/>
      <c r="R20" s="1657"/>
    </row>
    <row r="21" spans="2:29" s="1658" customFormat="1">
      <c r="B21" s="1662" t="s">
        <v>375</v>
      </c>
      <c r="C21" s="1663">
        <v>11.288663528226948</v>
      </c>
      <c r="D21" s="1663">
        <v>10.289424586707945</v>
      </c>
      <c r="E21" s="1663">
        <v>8.7101027106162991</v>
      </c>
      <c r="F21" s="1663">
        <v>7.6427558494266234</v>
      </c>
      <c r="G21" s="1663">
        <v>8.663729071788401</v>
      </c>
      <c r="H21" s="1663">
        <v>10.083809682299329</v>
      </c>
      <c r="I21" s="1663">
        <v>12.059620790597018</v>
      </c>
      <c r="J21" s="1663">
        <v>11.834889761288736</v>
      </c>
      <c r="K21" s="1663">
        <v>9.96470151946294</v>
      </c>
      <c r="L21" s="1663">
        <v>8.0236437414237454</v>
      </c>
      <c r="M21" s="1663">
        <v>8.2373641697110198</v>
      </c>
      <c r="N21" s="1663">
        <v>11.317068726952158</v>
      </c>
      <c r="O21" s="1664">
        <v>118.11577413850117</v>
      </c>
      <c r="P21" s="1643"/>
      <c r="Q21" s="1657"/>
      <c r="R21" s="1657"/>
    </row>
    <row r="22" spans="2:29" s="1658" customFormat="1">
      <c r="B22" s="1654">
        <v>2023</v>
      </c>
      <c r="C22" s="1655">
        <v>316683</v>
      </c>
      <c r="D22" s="1655">
        <v>260856</v>
      </c>
      <c r="E22" s="1655">
        <v>235327</v>
      </c>
      <c r="F22" s="1655">
        <v>206741</v>
      </c>
      <c r="G22" s="1655">
        <v>250958</v>
      </c>
      <c r="H22" s="1655">
        <v>288167</v>
      </c>
      <c r="I22" s="1655">
        <v>326655</v>
      </c>
      <c r="J22" s="1655">
        <v>333265</v>
      </c>
      <c r="K22" s="1655">
        <v>278281</v>
      </c>
      <c r="L22" s="1655">
        <v>220989</v>
      </c>
      <c r="M22" s="1655">
        <v>243509</v>
      </c>
      <c r="N22" s="1655">
        <v>288178</v>
      </c>
      <c r="O22" s="1656">
        <v>3249609</v>
      </c>
      <c r="P22" s="1643"/>
      <c r="Q22" s="1657"/>
      <c r="R22" s="1657"/>
    </row>
    <row r="23" spans="2:29" s="1658" customFormat="1">
      <c r="B23" s="1659" t="s">
        <v>374</v>
      </c>
      <c r="C23" s="1660">
        <v>10215.58064516129</v>
      </c>
      <c r="D23" s="1660">
        <v>9316.2857142857138</v>
      </c>
      <c r="E23" s="1660">
        <v>7591.1935483870966</v>
      </c>
      <c r="F23" s="1660">
        <v>6891.3666666666668</v>
      </c>
      <c r="G23" s="1660">
        <v>8095.4193548387093</v>
      </c>
      <c r="H23" s="1660">
        <v>9605.5666666666675</v>
      </c>
      <c r="I23" s="1660">
        <v>10537.258064516129</v>
      </c>
      <c r="J23" s="1660">
        <v>10750.483870967742</v>
      </c>
      <c r="K23" s="1660">
        <v>9276.0333333333328</v>
      </c>
      <c r="L23" s="1660">
        <v>7128.677419354839</v>
      </c>
      <c r="M23" s="1660">
        <v>8116.9666666666662</v>
      </c>
      <c r="N23" s="1660">
        <v>9296.0645161290322</v>
      </c>
      <c r="O23" s="1661">
        <v>8903.038356164383</v>
      </c>
      <c r="P23" s="1643"/>
      <c r="Q23" s="1657"/>
      <c r="R23" s="1657"/>
    </row>
    <row r="24" spans="2:29" s="1658" customFormat="1">
      <c r="B24" s="1662" t="s">
        <v>375</v>
      </c>
      <c r="C24" s="1663">
        <v>11.357883267544693</v>
      </c>
      <c r="D24" s="1663">
        <v>9.3556395437666016</v>
      </c>
      <c r="E24" s="1663">
        <v>8.4400381318273787</v>
      </c>
      <c r="F24" s="1663">
        <v>7.414796956626839</v>
      </c>
      <c r="G24" s="1663">
        <v>9.0006462900012973</v>
      </c>
      <c r="H24" s="1663">
        <v>10.335152652837543</v>
      </c>
      <c r="I24" s="1663">
        <v>11.715530542403007</v>
      </c>
      <c r="J24" s="1663">
        <v>11.952599183278807</v>
      </c>
      <c r="K24" s="1663">
        <v>9.9805897808711066</v>
      </c>
      <c r="L24" s="1663">
        <v>7.9258036124813591</v>
      </c>
      <c r="M24" s="1663">
        <v>8.7334867883547282</v>
      </c>
      <c r="N24" s="1663">
        <v>10.335547169486503</v>
      </c>
      <c r="O24" s="1664">
        <v>116.54771391947986</v>
      </c>
      <c r="P24" s="1643"/>
      <c r="Q24" s="1657"/>
      <c r="R24" s="1657"/>
    </row>
    <row r="25" spans="2:29" s="1658" customFormat="1">
      <c r="B25" s="1654">
        <v>2024</v>
      </c>
      <c r="C25" s="1655">
        <v>309712</v>
      </c>
      <c r="D25" s="1655">
        <v>238806</v>
      </c>
      <c r="E25" s="1655">
        <v>230872</v>
      </c>
      <c r="F25" s="1655">
        <v>170438</v>
      </c>
      <c r="G25" s="1665">
        <v>188058</v>
      </c>
      <c r="H25" s="1665">
        <v>240772</v>
      </c>
      <c r="I25" s="1655">
        <v>285056</v>
      </c>
      <c r="J25" s="1655"/>
      <c r="K25" s="1655"/>
      <c r="L25" s="1655"/>
      <c r="M25" s="1655"/>
      <c r="N25" s="1655"/>
      <c r="O25" s="1656">
        <f>SUM(C25:N25)</f>
        <v>1663714</v>
      </c>
      <c r="P25" s="1643"/>
      <c r="Q25" s="1666" t="s">
        <v>1116</v>
      </c>
      <c r="R25" s="1657"/>
    </row>
    <row r="26" spans="2:29" s="1658" customFormat="1">
      <c r="B26" s="1659" t="s">
        <v>374</v>
      </c>
      <c r="C26" s="1660">
        <f t="shared" ref="C26:I26" si="4">C25/R31</f>
        <v>9990.7096774193542</v>
      </c>
      <c r="D26" s="1660">
        <f t="shared" si="4"/>
        <v>8528.7857142857138</v>
      </c>
      <c r="E26" s="1660">
        <f t="shared" si="4"/>
        <v>7447.4838709677415</v>
      </c>
      <c r="F26" s="1660">
        <f t="shared" si="4"/>
        <v>5681.2666666666664</v>
      </c>
      <c r="G26" s="1660">
        <f t="shared" si="4"/>
        <v>6066.3870967741932</v>
      </c>
      <c r="H26" s="1660">
        <f t="shared" si="4"/>
        <v>8025.7333333333336</v>
      </c>
      <c r="I26" s="1660">
        <f t="shared" si="4"/>
        <v>9195.354838709678</v>
      </c>
      <c r="J26" s="1660"/>
      <c r="K26" s="1660"/>
      <c r="L26" s="1660"/>
      <c r="M26" s="1660"/>
      <c r="N26" s="1660"/>
      <c r="O26" s="1661">
        <f>O25/AC38</f>
        <v>4558.1205479452055</v>
      </c>
      <c r="P26" s="1643"/>
      <c r="Q26" s="1657"/>
      <c r="R26" s="1657"/>
    </row>
    <row r="27" spans="2:29" s="1658" customFormat="1">
      <c r="B27" s="1662" t="s">
        <v>375</v>
      </c>
      <c r="C27" s="1663">
        <f t="shared" ref="C27:F27" si="5">C25/$N$3</f>
        <v>11.107867307552985</v>
      </c>
      <c r="D27" s="1663">
        <f t="shared" si="5"/>
        <v>8.5648129883488462</v>
      </c>
      <c r="E27" s="1663">
        <f t="shared" si="5"/>
        <v>8.2802588889980786</v>
      </c>
      <c r="F27" s="1663">
        <f t="shared" si="5"/>
        <v>6.1127844196050383</v>
      </c>
      <c r="G27" s="1663">
        <f t="shared" ref="G27:H27" si="6">G25/$N$3</f>
        <v>6.7447283609411297</v>
      </c>
      <c r="H27" s="1663">
        <f t="shared" si="6"/>
        <v>8.6353238730631912</v>
      </c>
      <c r="I27" s="1663">
        <f t="shared" ref="I27" si="7">I25/$N$3</f>
        <v>10.223576171481323</v>
      </c>
      <c r="J27" s="1663"/>
      <c r="K27" s="1663"/>
      <c r="L27" s="1663"/>
      <c r="M27" s="1663"/>
      <c r="N27" s="1663"/>
      <c r="O27" s="1664">
        <f t="shared" ref="O27" si="8">O25/$N$3</f>
        <v>59.669352009990597</v>
      </c>
      <c r="P27" s="1643"/>
      <c r="Q27" s="1657"/>
      <c r="R27" s="1657"/>
    </row>
    <row r="28" spans="2:29" s="1653" customFormat="1">
      <c r="B28" s="1667" t="s">
        <v>376</v>
      </c>
      <c r="C28" s="1668">
        <f t="shared" ref="C28:H28" si="9">C25-C22</f>
        <v>-6971</v>
      </c>
      <c r="D28" s="1668">
        <f t="shared" si="9"/>
        <v>-22050</v>
      </c>
      <c r="E28" s="1668">
        <f t="shared" si="9"/>
        <v>-4455</v>
      </c>
      <c r="F28" s="1668">
        <f t="shared" si="9"/>
        <v>-36303</v>
      </c>
      <c r="G28" s="1668">
        <f t="shared" si="9"/>
        <v>-62900</v>
      </c>
      <c r="H28" s="1668">
        <f t="shared" si="9"/>
        <v>-47395</v>
      </c>
      <c r="I28" s="1668">
        <f t="shared" ref="I28" si="10">I25-I22</f>
        <v>-41599</v>
      </c>
      <c r="J28" s="1668"/>
      <c r="K28" s="1668"/>
      <c r="L28" s="1668"/>
      <c r="M28" s="1668"/>
      <c r="N28" s="1668"/>
      <c r="O28" s="1669">
        <f t="shared" ref="O28" si="11">O25-O19</f>
        <v>-1629616</v>
      </c>
      <c r="P28" s="1643"/>
      <c r="Q28" s="1657"/>
      <c r="R28" s="1657"/>
    </row>
    <row r="29" spans="2:29" s="1658" customFormat="1">
      <c r="B29" s="1662" t="s">
        <v>166</v>
      </c>
      <c r="C29" s="1670">
        <f t="shared" ref="C29:H29" si="12">C28/C22</f>
        <v>-2.2012548826428953E-2</v>
      </c>
      <c r="D29" s="1670">
        <f t="shared" si="12"/>
        <v>-8.4529395528567489E-2</v>
      </c>
      <c r="E29" s="1670">
        <f t="shared" si="12"/>
        <v>-1.8931104378163151E-2</v>
      </c>
      <c r="F29" s="1670">
        <f t="shared" si="12"/>
        <v>-0.17559651931643941</v>
      </c>
      <c r="G29" s="1670">
        <f t="shared" si="12"/>
        <v>-0.25063954924728443</v>
      </c>
      <c r="H29" s="1670">
        <f t="shared" si="12"/>
        <v>-0.16447060211613404</v>
      </c>
      <c r="I29" s="1670">
        <f t="shared" ref="I29" si="13">I28/I22</f>
        <v>-0.12734842570908145</v>
      </c>
      <c r="J29" s="1670"/>
      <c r="K29" s="1670"/>
      <c r="L29" s="1670"/>
      <c r="M29" s="1670"/>
      <c r="N29" s="1670"/>
      <c r="O29" s="1671">
        <f t="shared" ref="O29" si="14">O28/O19</f>
        <v>-0.4948231728979483</v>
      </c>
      <c r="P29" s="1643"/>
      <c r="Q29" s="1657"/>
      <c r="R29" s="1657"/>
    </row>
    <row r="30" spans="2:29" s="1653" customFormat="1">
      <c r="B30" s="1672"/>
      <c r="C30" s="1673"/>
      <c r="D30" s="1673"/>
      <c r="E30" s="1673"/>
      <c r="F30" s="1673"/>
      <c r="G30" s="1673"/>
      <c r="H30" s="1673"/>
      <c r="J30" s="1674"/>
      <c r="K30" s="1675"/>
      <c r="L30" s="1675"/>
      <c r="M30" s="1675"/>
      <c r="N30" s="1675"/>
      <c r="O30" s="1675"/>
      <c r="P30" s="1643"/>
      <c r="Q30" s="1657"/>
      <c r="R30" s="1657" t="s">
        <v>1117</v>
      </c>
    </row>
    <row r="31" spans="2:29" s="1648" customFormat="1">
      <c r="B31" s="2933" t="s">
        <v>377</v>
      </c>
      <c r="C31" s="2933"/>
      <c r="D31" s="2933"/>
      <c r="E31" s="1649"/>
      <c r="F31" s="1649"/>
      <c r="G31" s="1649"/>
      <c r="H31" s="1649"/>
      <c r="I31" s="1649"/>
      <c r="J31" s="1649"/>
      <c r="K31" s="1649"/>
      <c r="L31" s="1649"/>
      <c r="M31" s="2934" t="s">
        <v>378</v>
      </c>
      <c r="N31" s="2934"/>
      <c r="O31" s="2934"/>
      <c r="P31" s="1643"/>
      <c r="Q31" s="1650"/>
      <c r="R31" s="1650">
        <v>31</v>
      </c>
      <c r="S31" s="1648">
        <v>28</v>
      </c>
      <c r="T31" s="1648">
        <v>31</v>
      </c>
      <c r="U31" s="1648">
        <v>30</v>
      </c>
      <c r="V31" s="1648">
        <v>31</v>
      </c>
      <c r="W31" s="1648">
        <v>30</v>
      </c>
      <c r="X31" s="1648">
        <v>31</v>
      </c>
      <c r="Y31" s="1648">
        <v>31</v>
      </c>
      <c r="Z31" s="1648">
        <v>30</v>
      </c>
      <c r="AA31" s="1648">
        <v>31</v>
      </c>
      <c r="AB31" s="1648">
        <v>30</v>
      </c>
      <c r="AC31" s="1648">
        <v>31</v>
      </c>
    </row>
    <row r="32" spans="2:29" s="1653" customFormat="1">
      <c r="B32" s="2139" t="s">
        <v>379</v>
      </c>
      <c r="C32" s="2142" t="s">
        <v>380</v>
      </c>
      <c r="D32" s="2142" t="s">
        <v>264</v>
      </c>
      <c r="E32" s="2142" t="s">
        <v>265</v>
      </c>
      <c r="F32" s="2142" t="s">
        <v>368</v>
      </c>
      <c r="G32" s="2142" t="s">
        <v>369</v>
      </c>
      <c r="H32" s="2142" t="s">
        <v>370</v>
      </c>
      <c r="I32" s="2142" t="s">
        <v>371</v>
      </c>
      <c r="J32" s="2142" t="s">
        <v>260</v>
      </c>
      <c r="K32" s="2142" t="s">
        <v>261</v>
      </c>
      <c r="L32" s="2142" t="s">
        <v>372</v>
      </c>
      <c r="M32" s="2142" t="s">
        <v>262</v>
      </c>
      <c r="N32" s="2142" t="s">
        <v>263</v>
      </c>
      <c r="O32" s="2143" t="s">
        <v>381</v>
      </c>
      <c r="P32" s="1643"/>
      <c r="Q32" s="1657"/>
      <c r="R32" s="1676" t="s">
        <v>1118</v>
      </c>
      <c r="S32" s="1676" t="s">
        <v>264</v>
      </c>
      <c r="T32" s="1676" t="s">
        <v>265</v>
      </c>
      <c r="U32" s="1676" t="s">
        <v>368</v>
      </c>
      <c r="V32" s="1676" t="s">
        <v>369</v>
      </c>
      <c r="W32" s="1676" t="s">
        <v>370</v>
      </c>
      <c r="X32" s="1676" t="s">
        <v>371</v>
      </c>
      <c r="Y32" s="1676" t="s">
        <v>260</v>
      </c>
      <c r="Z32" s="1676" t="s">
        <v>261</v>
      </c>
      <c r="AA32" s="1676" t="s">
        <v>372</v>
      </c>
      <c r="AB32" s="1676" t="s">
        <v>262</v>
      </c>
      <c r="AC32" s="1676" t="s">
        <v>263</v>
      </c>
    </row>
    <row r="33" spans="2:29" s="1653" customFormat="1" hidden="1">
      <c r="B33" s="1677">
        <f>B7</f>
        <v>2017</v>
      </c>
      <c r="C33" s="1678">
        <v>112431637</v>
      </c>
      <c r="D33" s="1678">
        <v>108032271</v>
      </c>
      <c r="E33" s="1678">
        <v>86965971</v>
      </c>
      <c r="F33" s="1678">
        <v>90689705</v>
      </c>
      <c r="G33" s="1678">
        <v>109570535</v>
      </c>
      <c r="H33" s="1678">
        <v>156892841</v>
      </c>
      <c r="I33" s="1678">
        <v>176710100</v>
      </c>
      <c r="J33" s="1678">
        <v>170965333</v>
      </c>
      <c r="K33" s="1678">
        <v>117562582</v>
      </c>
      <c r="L33" s="1678">
        <v>89031600</v>
      </c>
      <c r="M33" s="1678">
        <v>102394339</v>
      </c>
      <c r="N33" s="1678">
        <v>108981730</v>
      </c>
      <c r="O33" s="1679">
        <f t="shared" ref="O33:O35" si="15">SUM(C33:N33)</f>
        <v>1430228644</v>
      </c>
      <c r="P33" s="1643"/>
      <c r="Q33" s="1657"/>
      <c r="R33" s="1676"/>
      <c r="S33" s="1672"/>
      <c r="T33" s="1672"/>
      <c r="U33" s="1672"/>
      <c r="V33" s="1672"/>
      <c r="W33" s="1672"/>
      <c r="X33" s="1672"/>
      <c r="Y33" s="1672"/>
      <c r="Z33" s="1672"/>
      <c r="AA33" s="1672"/>
      <c r="AB33" s="1672"/>
      <c r="AC33" s="1672"/>
    </row>
    <row r="34" spans="2:29" s="1653" customFormat="1" hidden="1">
      <c r="B34" s="1680">
        <f>B10</f>
        <v>2018</v>
      </c>
      <c r="C34" s="1681">
        <f>20740962+35123498+21259915+32285357+4364760</f>
        <v>113774492</v>
      </c>
      <c r="D34" s="1682">
        <v>102147390</v>
      </c>
      <c r="E34" s="1682">
        <v>79997104</v>
      </c>
      <c r="F34" s="1682">
        <v>80209156</v>
      </c>
      <c r="G34" s="1682">
        <v>96685743</v>
      </c>
      <c r="H34" s="1682">
        <v>137479385</v>
      </c>
      <c r="I34" s="1682">
        <v>161269244</v>
      </c>
      <c r="J34" s="1682">
        <v>161582929</v>
      </c>
      <c r="K34" s="1682">
        <v>94139379</v>
      </c>
      <c r="L34" s="1682">
        <v>74932259</v>
      </c>
      <c r="M34" s="1682">
        <v>87359241</v>
      </c>
      <c r="N34" s="1682">
        <v>95500152</v>
      </c>
      <c r="O34" s="1683">
        <f t="shared" si="15"/>
        <v>1285076474</v>
      </c>
      <c r="P34" s="1643"/>
      <c r="Q34" s="1657"/>
      <c r="R34" s="1676"/>
      <c r="S34" s="1672"/>
      <c r="T34" s="1672"/>
      <c r="U34" s="1672"/>
      <c r="V34" s="1672"/>
      <c r="W34" s="1672"/>
      <c r="X34" s="1672"/>
      <c r="Y34" s="1672"/>
      <c r="Z34" s="1672"/>
      <c r="AA34" s="1672"/>
      <c r="AB34" s="1672"/>
      <c r="AC34" s="1672"/>
    </row>
    <row r="35" spans="2:29" s="1653" customFormat="1" hidden="1">
      <c r="B35" s="1684">
        <v>2019</v>
      </c>
      <c r="C35" s="1685">
        <v>100417825</v>
      </c>
      <c r="D35" s="1685">
        <v>84948921</v>
      </c>
      <c r="E35" s="1685">
        <v>70555611</v>
      </c>
      <c r="F35" s="1685">
        <v>69308067</v>
      </c>
      <c r="G35" s="1685">
        <v>91554992</v>
      </c>
      <c r="H35" s="1685">
        <v>126462077</v>
      </c>
      <c r="I35" s="1685">
        <v>147628439</v>
      </c>
      <c r="J35" s="1685">
        <v>147296736.17333832</v>
      </c>
      <c r="K35" s="1685">
        <v>98102160.84465313</v>
      </c>
      <c r="L35" s="1685">
        <v>77069654.129166633</v>
      </c>
      <c r="M35" s="1685">
        <v>84691169.796771899</v>
      </c>
      <c r="N35" s="1685">
        <v>92731367.774984494</v>
      </c>
      <c r="O35" s="1683">
        <f t="shared" si="15"/>
        <v>1190767020.7189145</v>
      </c>
      <c r="P35" s="1643"/>
      <c r="Q35" s="1657"/>
    </row>
    <row r="36" spans="2:29" s="1653" customFormat="1" hidden="1">
      <c r="B36" s="1686">
        <v>2020</v>
      </c>
      <c r="C36" s="1687">
        <v>90987054.018450931</v>
      </c>
      <c r="D36" s="1687">
        <v>89919651.595928267</v>
      </c>
      <c r="E36" s="1687">
        <v>69909467</v>
      </c>
      <c r="F36" s="1687">
        <v>64752013.614503272</v>
      </c>
      <c r="G36" s="1687">
        <v>82498172.229331031</v>
      </c>
      <c r="H36" s="1687">
        <v>127962581.07953751</v>
      </c>
      <c r="I36" s="1687">
        <v>143240036</v>
      </c>
      <c r="J36" s="1687">
        <v>145335497</v>
      </c>
      <c r="K36" s="1687">
        <v>94748824.810668468</v>
      </c>
      <c r="L36" s="1687">
        <v>65608455.627077892</v>
      </c>
      <c r="M36" s="1687">
        <v>81621090.520475551</v>
      </c>
      <c r="N36" s="1687">
        <v>95673789.119461894</v>
      </c>
      <c r="O36" s="1683">
        <f>SUM(C36:N36)</f>
        <v>1152256632.6154346</v>
      </c>
      <c r="P36" s="1643"/>
      <c r="Q36" s="1657"/>
    </row>
    <row r="37" spans="2:29" s="1653" customFormat="1">
      <c r="B37" s="1686">
        <v>2022</v>
      </c>
      <c r="C37" s="1687">
        <v>101872574</v>
      </c>
      <c r="D37" s="1687">
        <v>94860488</v>
      </c>
      <c r="E37" s="1687">
        <v>68315322</v>
      </c>
      <c r="F37" s="1687">
        <v>71797993</v>
      </c>
      <c r="G37" s="1687">
        <v>89648668</v>
      </c>
      <c r="H37" s="1687">
        <v>129868539</v>
      </c>
      <c r="I37" s="1687">
        <v>159579270</v>
      </c>
      <c r="J37" s="1687">
        <v>159361232</v>
      </c>
      <c r="K37" s="1687">
        <v>109134726</v>
      </c>
      <c r="L37" s="1687">
        <v>84849333</v>
      </c>
      <c r="M37" s="1687">
        <v>96615826</v>
      </c>
      <c r="N37" s="1687">
        <v>129460359</v>
      </c>
      <c r="O37" s="1683">
        <f t="shared" ref="O37:O38" si="16">SUM(C37:N37)</f>
        <v>1295364330</v>
      </c>
      <c r="P37" s="1643"/>
      <c r="Q37" s="1657"/>
      <c r="R37" s="1676">
        <v>31</v>
      </c>
      <c r="S37" s="1672">
        <v>28</v>
      </c>
      <c r="T37" s="1672">
        <v>31</v>
      </c>
      <c r="U37" s="1672">
        <v>30</v>
      </c>
      <c r="V37" s="1672">
        <v>31</v>
      </c>
      <c r="W37" s="1672">
        <v>30</v>
      </c>
      <c r="X37" s="1672">
        <v>31</v>
      </c>
      <c r="Y37" s="1672">
        <v>31</v>
      </c>
      <c r="Z37" s="1672">
        <v>30</v>
      </c>
      <c r="AA37" s="1672">
        <v>31</v>
      </c>
      <c r="AB37" s="1672">
        <v>30</v>
      </c>
      <c r="AC37" s="1672">
        <v>31</v>
      </c>
    </row>
    <row r="38" spans="2:29" s="1653" customFormat="1">
      <c r="B38" s="1686">
        <v>2023</v>
      </c>
      <c r="C38" s="1687">
        <v>135467512</v>
      </c>
      <c r="D38" s="1687">
        <v>120602167</v>
      </c>
      <c r="E38" s="1687">
        <v>94007790</v>
      </c>
      <c r="F38" s="1687">
        <v>92145400</v>
      </c>
      <c r="G38" s="1687">
        <v>122518541</v>
      </c>
      <c r="H38" s="1687">
        <v>183973642</v>
      </c>
      <c r="I38" s="1687">
        <v>208974763</v>
      </c>
      <c r="J38" s="1687">
        <v>214956549</v>
      </c>
      <c r="K38" s="1687">
        <v>155118303</v>
      </c>
      <c r="L38" s="1687">
        <v>99787821</v>
      </c>
      <c r="M38" s="1687">
        <v>122216515</v>
      </c>
      <c r="N38" s="1687">
        <v>142681465</v>
      </c>
      <c r="O38" s="1683">
        <f t="shared" si="16"/>
        <v>1692450468</v>
      </c>
      <c r="P38" s="1643"/>
      <c r="Q38" s="1657"/>
      <c r="R38" s="1676">
        <f>R37</f>
        <v>31</v>
      </c>
      <c r="S38" s="1688">
        <f>R38+S37</f>
        <v>59</v>
      </c>
      <c r="T38" s="1688">
        <f t="shared" ref="T38:AC38" si="17">S38+T37</f>
        <v>90</v>
      </c>
      <c r="U38" s="1688">
        <f>T38+U37</f>
        <v>120</v>
      </c>
      <c r="V38" s="1688">
        <f t="shared" si="17"/>
        <v>151</v>
      </c>
      <c r="W38" s="1688">
        <f>V38+W37</f>
        <v>181</v>
      </c>
      <c r="X38" s="1688">
        <f t="shared" si="17"/>
        <v>212</v>
      </c>
      <c r="Y38" s="1688">
        <f>X38+Y37</f>
        <v>243</v>
      </c>
      <c r="Z38" s="1688">
        <f t="shared" si="17"/>
        <v>273</v>
      </c>
      <c r="AA38" s="1688">
        <f t="shared" si="17"/>
        <v>304</v>
      </c>
      <c r="AB38" s="1688">
        <f t="shared" si="17"/>
        <v>334</v>
      </c>
      <c r="AC38" s="1688">
        <f t="shared" si="17"/>
        <v>365</v>
      </c>
    </row>
    <row r="39" spans="2:29" s="1653" customFormat="1">
      <c r="B39" s="1686">
        <v>2024</v>
      </c>
      <c r="C39" s="1687">
        <v>141003549</v>
      </c>
      <c r="D39" s="1687">
        <v>118167503</v>
      </c>
      <c r="E39" s="1687">
        <v>98594813</v>
      </c>
      <c r="F39" s="1687">
        <v>93982325</v>
      </c>
      <c r="G39" s="1687">
        <v>93982325</v>
      </c>
      <c r="H39" s="1687">
        <f>SUM('4-2) 관리비용 세부'!P78:P82)</f>
        <v>139550873</v>
      </c>
      <c r="I39" s="1687">
        <f>SUM('4-2) 관리비용 세부'!Q78:Q82)</f>
        <v>157166923</v>
      </c>
      <c r="J39" s="1687"/>
      <c r="K39" s="1687"/>
      <c r="L39" s="1687"/>
      <c r="M39" s="1687"/>
      <c r="N39" s="1687"/>
      <c r="O39" s="1689">
        <f>SUM(C39:M39)</f>
        <v>842448311</v>
      </c>
      <c r="P39" s="1643"/>
      <c r="Q39" s="1666"/>
      <c r="R39" s="1657" t="s">
        <v>1119</v>
      </c>
    </row>
    <row r="40" spans="2:29" s="1653" customFormat="1">
      <c r="B40" s="1667" t="s">
        <v>376</v>
      </c>
      <c r="C40" s="1690">
        <f t="shared" ref="C40:H40" si="18">C39-C38</f>
        <v>5536037</v>
      </c>
      <c r="D40" s="1690">
        <f t="shared" si="18"/>
        <v>-2434664</v>
      </c>
      <c r="E40" s="1690">
        <f t="shared" si="18"/>
        <v>4587023</v>
      </c>
      <c r="F40" s="1690">
        <f t="shared" si="18"/>
        <v>1836925</v>
      </c>
      <c r="G40" s="1690">
        <f t="shared" si="18"/>
        <v>-28536216</v>
      </c>
      <c r="H40" s="1690">
        <f t="shared" si="18"/>
        <v>-44422769</v>
      </c>
      <c r="I40" s="1690">
        <f t="shared" ref="I40" si="19">I39-I38</f>
        <v>-51807840</v>
      </c>
      <c r="J40" s="1690"/>
      <c r="K40" s="1690"/>
      <c r="L40" s="1690"/>
      <c r="M40" s="1690"/>
      <c r="N40" s="1690"/>
      <c r="O40" s="1691"/>
      <c r="P40" s="1643"/>
      <c r="Q40" s="1657"/>
      <c r="R40" s="1657"/>
    </row>
    <row r="41" spans="2:29" s="1653" customFormat="1">
      <c r="B41" s="1692" t="s">
        <v>166</v>
      </c>
      <c r="C41" s="1693">
        <f t="shared" ref="C41:F41" si="20">C40/C38</f>
        <v>4.0866159850931637E-2</v>
      </c>
      <c r="D41" s="1693">
        <f t="shared" si="20"/>
        <v>-2.0187564291444283E-2</v>
      </c>
      <c r="E41" s="1693">
        <f t="shared" si="20"/>
        <v>4.8794073342219829E-2</v>
      </c>
      <c r="F41" s="1693">
        <f t="shared" si="20"/>
        <v>1.9935070008920683E-2</v>
      </c>
      <c r="G41" s="1693">
        <f t="shared" ref="G41:H41" si="21">G40/G38</f>
        <v>-0.23291344940191541</v>
      </c>
      <c r="H41" s="1693">
        <f t="shared" si="21"/>
        <v>-0.24146268192048945</v>
      </c>
      <c r="I41" s="1693">
        <f t="shared" ref="I41" si="22">I40/I38</f>
        <v>-0.24791433786672126</v>
      </c>
      <c r="J41" s="1693"/>
      <c r="K41" s="1693"/>
      <c r="L41" s="1693"/>
      <c r="M41" s="1693"/>
      <c r="N41" s="1693"/>
      <c r="O41" s="1694"/>
      <c r="P41" s="1643"/>
      <c r="Q41" s="1657"/>
      <c r="R41" s="1657"/>
    </row>
    <row r="42" spans="2:29" s="1653" customFormat="1" ht="12.95" customHeight="1">
      <c r="B42" s="1673"/>
      <c r="C42" s="1673"/>
      <c r="D42" s="1673"/>
      <c r="E42" s="1673"/>
      <c r="F42" s="1673"/>
      <c r="G42" s="1673"/>
      <c r="H42" s="1673"/>
      <c r="I42" s="1673"/>
      <c r="J42" s="1673"/>
      <c r="K42" s="1675"/>
      <c r="L42" s="1675"/>
      <c r="M42" s="1675"/>
      <c r="N42" s="1675"/>
      <c r="O42" s="1675"/>
      <c r="P42" s="1643"/>
      <c r="Q42" s="1657"/>
      <c r="R42" s="1657"/>
    </row>
    <row r="43" spans="2:29" s="1653" customFormat="1" ht="12.95" customHeight="1">
      <c r="B43" s="1672"/>
      <c r="C43" s="1673"/>
      <c r="D43" s="1673"/>
      <c r="E43" s="1673"/>
      <c r="F43" s="1673"/>
      <c r="G43" s="1673"/>
      <c r="H43" s="1673"/>
      <c r="I43" s="1673"/>
      <c r="J43" s="1673"/>
      <c r="K43" s="1695" t="s">
        <v>379</v>
      </c>
      <c r="L43" s="1696" t="s">
        <v>382</v>
      </c>
      <c r="M43" s="1696" t="s">
        <v>374</v>
      </c>
      <c r="N43" s="1696" t="s">
        <v>383</v>
      </c>
      <c r="O43" s="1697" t="s">
        <v>384</v>
      </c>
      <c r="P43" s="1643"/>
      <c r="Q43" s="1657"/>
      <c r="R43" s="1657"/>
    </row>
    <row r="44" spans="2:29" s="1653" customFormat="1" ht="12.75" hidden="1" customHeight="1">
      <c r="B44" s="1673"/>
      <c r="C44" s="1673"/>
      <c r="D44" s="1673"/>
      <c r="E44" s="1673"/>
      <c r="F44" s="1673"/>
      <c r="G44" s="1673"/>
      <c r="H44" s="1673"/>
      <c r="I44" s="1673"/>
      <c r="J44" s="1673"/>
      <c r="K44" s="1698">
        <f>B33</f>
        <v>2017</v>
      </c>
      <c r="L44" s="1699">
        <f>O33/12</f>
        <v>119185720.33333333</v>
      </c>
      <c r="M44" s="1699">
        <f>O33/365</f>
        <v>3918434.6410958902</v>
      </c>
      <c r="N44" s="1699">
        <f>MAX(C33:N33)</f>
        <v>176710100</v>
      </c>
      <c r="O44" s="1700">
        <f>MIN(C33:N33)</f>
        <v>86965971</v>
      </c>
      <c r="P44" s="1643"/>
      <c r="Q44" s="1657"/>
      <c r="R44" s="1657"/>
    </row>
    <row r="45" spans="2:29" s="1653" customFormat="1" ht="12.95" hidden="1" customHeight="1">
      <c r="B45" s="1673"/>
      <c r="C45" s="1673"/>
      <c r="D45" s="1673"/>
      <c r="E45" s="1673"/>
      <c r="F45" s="1673"/>
      <c r="G45" s="1673"/>
      <c r="H45" s="1673"/>
      <c r="I45" s="1673"/>
      <c r="J45" s="1673"/>
      <c r="K45" s="1698">
        <f>B34</f>
        <v>2018</v>
      </c>
      <c r="L45" s="1699">
        <f>O34/12</f>
        <v>107089706.16666667</v>
      </c>
      <c r="M45" s="1699">
        <f>O34/365</f>
        <v>3520757.4630136988</v>
      </c>
      <c r="N45" s="1699">
        <f>MAX(C34:N34)</f>
        <v>161582929</v>
      </c>
      <c r="O45" s="1700">
        <f>MIN(C34:N34)</f>
        <v>74932259</v>
      </c>
      <c r="P45" s="1643"/>
      <c r="Q45" s="1657"/>
      <c r="R45" s="1657"/>
    </row>
    <row r="46" spans="2:29" s="1653" customFormat="1" ht="12.95" hidden="1" customHeight="1">
      <c r="B46" s="1673"/>
      <c r="C46" s="1673"/>
      <c r="D46" s="1673"/>
      <c r="E46" s="1673"/>
      <c r="F46" s="1673"/>
      <c r="G46" s="1673"/>
      <c r="H46" s="1673"/>
      <c r="I46" s="1673"/>
      <c r="J46" s="1673"/>
      <c r="K46" s="1698">
        <f>B35</f>
        <v>2019</v>
      </c>
      <c r="L46" s="1699">
        <f>O35/12</f>
        <v>99230585.059909537</v>
      </c>
      <c r="M46" s="1699">
        <f>O35/365</f>
        <v>3262375.3992299028</v>
      </c>
      <c r="N46" s="1699">
        <f>MAX(C35:N35)</f>
        <v>147628439</v>
      </c>
      <c r="O46" s="1700">
        <f>MIN(C35:N35)</f>
        <v>69308067</v>
      </c>
      <c r="P46" s="1643"/>
      <c r="Q46" s="1657"/>
      <c r="R46" s="1657"/>
    </row>
    <row r="47" spans="2:29" s="1653" customFormat="1" ht="12.95" hidden="1" customHeight="1">
      <c r="B47" s="1673"/>
      <c r="C47" s="1673"/>
      <c r="D47" s="1673"/>
      <c r="E47" s="1673"/>
      <c r="F47" s="1673"/>
      <c r="G47" s="1673"/>
      <c r="H47" s="1673"/>
      <c r="I47" s="1673"/>
      <c r="J47" s="1673"/>
      <c r="K47" s="1698">
        <f>B36</f>
        <v>2020</v>
      </c>
      <c r="L47" s="1699">
        <f>O36/12</f>
        <v>96021386.051286221</v>
      </c>
      <c r="M47" s="1699">
        <f>O36/366</f>
        <v>3148242.1656159419</v>
      </c>
      <c r="N47" s="1699">
        <f>MAX(C36:N36)</f>
        <v>145335497</v>
      </c>
      <c r="O47" s="1700">
        <f>MIN(C36:N36)</f>
        <v>64752013.614503272</v>
      </c>
      <c r="P47" s="1643"/>
      <c r="Q47" s="1657"/>
      <c r="R47" s="1657"/>
    </row>
    <row r="48" spans="2:29" s="1653" customFormat="1" ht="12.95" customHeight="1">
      <c r="B48" s="1673"/>
      <c r="C48" s="1673"/>
      <c r="D48" s="1673"/>
      <c r="E48" s="1673"/>
      <c r="F48" s="1673"/>
      <c r="G48" s="1673"/>
      <c r="H48" s="1673"/>
      <c r="I48" s="1673"/>
      <c r="J48" s="1673"/>
      <c r="K48" s="1698">
        <v>2022</v>
      </c>
      <c r="L48" s="1699">
        <f>O37/12</f>
        <v>107947027.5</v>
      </c>
      <c r="M48" s="1699">
        <f>O37/$AC$38</f>
        <v>3548943.3698630137</v>
      </c>
      <c r="N48" s="1699">
        <f>MAX(C37:N37)</f>
        <v>159579270</v>
      </c>
      <c r="O48" s="1700">
        <f>MIN(C37:N37)</f>
        <v>68315322</v>
      </c>
      <c r="P48" s="1643"/>
      <c r="Q48" s="1657"/>
      <c r="R48" s="1657"/>
    </row>
    <row r="49" spans="1:29" s="1653" customFormat="1" ht="12.95" customHeight="1">
      <c r="B49" s="1673"/>
      <c r="C49" s="1673"/>
      <c r="D49" s="1673"/>
      <c r="E49" s="1673"/>
      <c r="F49" s="1673"/>
      <c r="G49" s="1673"/>
      <c r="H49" s="1673"/>
      <c r="I49" s="1673"/>
      <c r="J49" s="1673"/>
      <c r="K49" s="1698">
        <v>2023</v>
      </c>
      <c r="L49" s="1699">
        <f t="shared" ref="L49" si="23">O38/12</f>
        <v>141037539</v>
      </c>
      <c r="M49" s="1699">
        <f>O38/$AC$38</f>
        <v>4636850.597260274</v>
      </c>
      <c r="N49" s="1699">
        <f t="shared" ref="N49" si="24">MAX(C38:N38)</f>
        <v>214956549</v>
      </c>
      <c r="O49" s="1700">
        <f t="shared" ref="O49" si="25">MIN(C38:N38)</f>
        <v>92145400</v>
      </c>
      <c r="P49" s="1643"/>
      <c r="Q49" s="1657"/>
      <c r="R49" s="1657" t="s">
        <v>467</v>
      </c>
    </row>
    <row r="50" spans="1:29" s="1653" customFormat="1" ht="12.95" customHeight="1">
      <c r="B50" s="1673"/>
      <c r="C50" s="1673"/>
      <c r="D50" s="1673"/>
      <c r="E50" s="1673"/>
      <c r="F50" s="1673"/>
      <c r="G50" s="1673"/>
      <c r="H50" s="1673"/>
      <c r="I50" s="1673"/>
      <c r="J50" s="1673"/>
      <c r="K50" s="1698">
        <v>2024</v>
      </c>
      <c r="L50" s="1699">
        <f>O39/12</f>
        <v>70204025.916666672</v>
      </c>
      <c r="M50" s="1699">
        <f>O39/$AC$38</f>
        <v>2308077.5643835617</v>
      </c>
      <c r="N50" s="1699">
        <f>MAX(C39:N39)</f>
        <v>157166923</v>
      </c>
      <c r="O50" s="1700">
        <f>MIN(C39:N39)</f>
        <v>93982325</v>
      </c>
      <c r="P50" s="1643"/>
      <c r="Q50" s="1657"/>
      <c r="R50" s="1657"/>
    </row>
    <row r="51" spans="1:29" s="1653" customFormat="1" ht="12.95" customHeight="1">
      <c r="B51" s="1673"/>
      <c r="C51" s="1673"/>
      <c r="D51" s="1673"/>
      <c r="E51" s="1673"/>
      <c r="F51" s="1673"/>
      <c r="G51" s="1673"/>
      <c r="H51" s="1673"/>
      <c r="I51" s="1673"/>
      <c r="J51" s="1673"/>
      <c r="K51" s="1667" t="s">
        <v>376</v>
      </c>
      <c r="L51" s="1699">
        <f>L49-L48</f>
        <v>33090511.5</v>
      </c>
      <c r="M51" s="1699">
        <f>M49-M48</f>
        <v>1087907.2273972603</v>
      </c>
      <c r="N51" s="1699"/>
      <c r="O51" s="1700"/>
      <c r="P51" s="1643"/>
      <c r="Q51" s="1657"/>
      <c r="R51" s="1676" t="s">
        <v>1120</v>
      </c>
      <c r="S51" s="1676" t="s">
        <v>264</v>
      </c>
      <c r="T51" s="1676" t="s">
        <v>265</v>
      </c>
      <c r="U51" s="1676" t="s">
        <v>368</v>
      </c>
      <c r="V51" s="1676" t="s">
        <v>369</v>
      </c>
      <c r="W51" s="1676" t="s">
        <v>370</v>
      </c>
      <c r="X51" s="1676" t="s">
        <v>371</v>
      </c>
      <c r="Y51" s="1676" t="s">
        <v>260</v>
      </c>
      <c r="Z51" s="1676" t="s">
        <v>261</v>
      </c>
      <c r="AA51" s="1676" t="s">
        <v>372</v>
      </c>
      <c r="AB51" s="1676" t="s">
        <v>262</v>
      </c>
      <c r="AC51" s="1676" t="s">
        <v>263</v>
      </c>
    </row>
    <row r="52" spans="1:29" s="1653" customFormat="1" ht="12.95" customHeight="1">
      <c r="B52" s="1673"/>
      <c r="C52" s="1673"/>
      <c r="D52" s="1673"/>
      <c r="E52" s="1673"/>
      <c r="F52" s="1673"/>
      <c r="G52" s="1673"/>
      <c r="H52" s="1673"/>
      <c r="I52" s="1673"/>
      <c r="J52" s="1673"/>
      <c r="K52" s="1692" t="s">
        <v>166</v>
      </c>
      <c r="L52" s="1693">
        <f>L51/L48</f>
        <v>0.30654398056491178</v>
      </c>
      <c r="M52" s="1693">
        <f>M51/M48</f>
        <v>0.30654398056491178</v>
      </c>
      <c r="N52" s="1693"/>
      <c r="O52" s="1701"/>
      <c r="P52" s="1643"/>
      <c r="Q52" s="1702" t="s">
        <v>480</v>
      </c>
      <c r="R52" s="1703">
        <f>C25/C22</f>
        <v>0.977987451173571</v>
      </c>
      <c r="S52" s="1703">
        <f t="shared" ref="S52:AC52" si="26">D25/D22</f>
        <v>0.91547060447143247</v>
      </c>
      <c r="T52" s="1703">
        <f t="shared" si="26"/>
        <v>0.98106889562183686</v>
      </c>
      <c r="U52" s="1703">
        <f t="shared" si="26"/>
        <v>0.82440348068356062</v>
      </c>
      <c r="V52" s="1703">
        <f t="shared" si="26"/>
        <v>0.74936045075271562</v>
      </c>
      <c r="W52" s="1703">
        <f t="shared" si="26"/>
        <v>0.83552939788386593</v>
      </c>
      <c r="X52" s="1703">
        <f t="shared" si="26"/>
        <v>0.87265157429091855</v>
      </c>
      <c r="Y52" s="1703">
        <f t="shared" si="26"/>
        <v>0</v>
      </c>
      <c r="Z52" s="1703">
        <f t="shared" si="26"/>
        <v>0</v>
      </c>
      <c r="AA52" s="1703">
        <f t="shared" si="26"/>
        <v>0</v>
      </c>
      <c r="AB52" s="1703">
        <f t="shared" si="26"/>
        <v>0</v>
      </c>
      <c r="AC52" s="1703">
        <f t="shared" si="26"/>
        <v>0</v>
      </c>
    </row>
    <row r="53" spans="1:29" s="1653" customFormat="1" ht="12.95" customHeight="1">
      <c r="B53" s="1673"/>
      <c r="C53" s="1673"/>
      <c r="D53" s="1673"/>
      <c r="E53" s="1673"/>
      <c r="F53" s="1673"/>
      <c r="G53" s="1673"/>
      <c r="H53" s="1673"/>
      <c r="I53" s="1673"/>
      <c r="J53" s="1673"/>
      <c r="P53" s="1643"/>
      <c r="Q53" s="1702" t="s">
        <v>1121</v>
      </c>
      <c r="R53" s="1703">
        <f>C39/C38</f>
        <v>1.0408661598509317</v>
      </c>
      <c r="S53" s="1703">
        <f t="shared" ref="S53:AC53" si="27">D39/D38</f>
        <v>0.9798124357085557</v>
      </c>
      <c r="T53" s="1703">
        <f t="shared" si="27"/>
        <v>1.0487940733422199</v>
      </c>
      <c r="U53" s="1703">
        <f t="shared" si="27"/>
        <v>1.0199350700089207</v>
      </c>
      <c r="V53" s="1703">
        <f t="shared" si="27"/>
        <v>0.76708655059808462</v>
      </c>
      <c r="W53" s="1703">
        <f t="shared" si="27"/>
        <v>0.75853731807951053</v>
      </c>
      <c r="X53" s="1703">
        <f t="shared" si="27"/>
        <v>0.75208566213327877</v>
      </c>
      <c r="Y53" s="1703">
        <f t="shared" si="27"/>
        <v>0</v>
      </c>
      <c r="Z53" s="1703">
        <f t="shared" si="27"/>
        <v>0</v>
      </c>
      <c r="AA53" s="1703">
        <f t="shared" si="27"/>
        <v>0</v>
      </c>
      <c r="AB53" s="1703">
        <f t="shared" si="27"/>
        <v>0</v>
      </c>
      <c r="AC53" s="1703">
        <f t="shared" si="27"/>
        <v>0</v>
      </c>
    </row>
    <row r="54" spans="1:29" s="1653" customFormat="1" ht="12.95" customHeight="1">
      <c r="B54" s="1673"/>
      <c r="C54" s="1673"/>
      <c r="D54" s="1673"/>
      <c r="E54" s="1673"/>
      <c r="F54" s="1673"/>
      <c r="G54" s="1673"/>
      <c r="H54" s="1673"/>
      <c r="I54" s="1673"/>
      <c r="J54" s="1673"/>
      <c r="K54" s="2921" t="s">
        <v>2156</v>
      </c>
      <c r="L54" s="2922"/>
      <c r="M54" s="2922"/>
      <c r="N54" s="2922"/>
      <c r="O54" s="2923"/>
      <c r="P54" s="1704"/>
      <c r="Q54" s="1666" t="s">
        <v>1122</v>
      </c>
      <c r="R54" s="1657"/>
    </row>
    <row r="55" spans="1:29" s="1653" customFormat="1" ht="12.95" customHeight="1">
      <c r="B55" s="1673"/>
      <c r="C55" s="1673"/>
      <c r="D55" s="1673"/>
      <c r="E55" s="1673"/>
      <c r="F55" s="1673"/>
      <c r="G55" s="1673"/>
      <c r="H55" s="1673"/>
      <c r="I55" s="1673"/>
      <c r="J55" s="1673"/>
      <c r="K55" s="2924"/>
      <c r="L55" s="2925"/>
      <c r="M55" s="2925"/>
      <c r="N55" s="2925"/>
      <c r="O55" s="2926"/>
      <c r="P55" s="1704"/>
      <c r="Q55" s="1657"/>
      <c r="R55" s="1657"/>
    </row>
    <row r="56" spans="1:29" s="1653" customFormat="1" ht="12.95" customHeight="1">
      <c r="B56" s="1673"/>
      <c r="C56" s="1673"/>
      <c r="D56" s="1673"/>
      <c r="E56" s="1673"/>
      <c r="F56" s="1673"/>
      <c r="G56" s="1673"/>
      <c r="H56" s="1673"/>
      <c r="I56" s="1673"/>
      <c r="J56" s="1673"/>
      <c r="K56" s="2924"/>
      <c r="L56" s="2925"/>
      <c r="M56" s="2925"/>
      <c r="N56" s="2925"/>
      <c r="O56" s="2926"/>
      <c r="P56" s="1704"/>
      <c r="Q56" s="1657"/>
      <c r="R56" s="1657"/>
    </row>
    <row r="57" spans="1:29" s="1653" customFormat="1" ht="12.95" customHeight="1">
      <c r="B57" s="1673"/>
      <c r="C57" s="1673"/>
      <c r="D57" s="1673"/>
      <c r="E57" s="1673"/>
      <c r="F57" s="1673"/>
      <c r="G57" s="1673"/>
      <c r="H57" s="1673"/>
      <c r="I57" s="1673"/>
      <c r="J57" s="1673"/>
      <c r="K57" s="2924"/>
      <c r="L57" s="2925"/>
      <c r="M57" s="2925"/>
      <c r="N57" s="2925"/>
      <c r="O57" s="2926"/>
      <c r="P57" s="1704"/>
      <c r="Q57" s="1657"/>
      <c r="R57" s="1657"/>
    </row>
    <row r="58" spans="1:29" s="1653" customFormat="1" ht="12.95" customHeight="1">
      <c r="B58" s="1673"/>
      <c r="C58" s="1673"/>
      <c r="D58" s="1673"/>
      <c r="E58" s="1673"/>
      <c r="F58" s="1673"/>
      <c r="G58" s="1673"/>
      <c r="H58" s="1673"/>
      <c r="I58" s="1673"/>
      <c r="J58" s="1673"/>
      <c r="K58" s="2924"/>
      <c r="L58" s="2925"/>
      <c r="M58" s="2925"/>
      <c r="N58" s="2925"/>
      <c r="O58" s="2926"/>
      <c r="P58" s="1704"/>
      <c r="Q58" s="1657"/>
      <c r="R58" s="1657"/>
    </row>
    <row r="59" spans="1:29" s="1653" customFormat="1" ht="12.95" customHeight="1">
      <c r="B59" s="1673"/>
      <c r="C59" s="1673"/>
      <c r="D59" s="1673"/>
      <c r="E59" s="1673"/>
      <c r="F59" s="1673"/>
      <c r="G59" s="1673"/>
      <c r="H59" s="1673"/>
      <c r="I59" s="1673"/>
      <c r="J59" s="1673"/>
      <c r="K59" s="2927"/>
      <c r="L59" s="2928"/>
      <c r="M59" s="2928"/>
      <c r="N59" s="2928"/>
      <c r="O59" s="2929"/>
      <c r="P59" s="1704"/>
      <c r="Q59" s="1657"/>
      <c r="R59" s="1657"/>
    </row>
    <row r="60" spans="1:29" s="1653" customFormat="1" ht="12.95" customHeight="1" thickBot="1">
      <c r="A60" s="1705"/>
      <c r="B60" s="1705"/>
      <c r="C60" s="1705"/>
      <c r="D60" s="1705"/>
      <c r="E60" s="1705"/>
      <c r="F60" s="1705"/>
      <c r="G60" s="1705"/>
      <c r="H60" s="1705"/>
      <c r="I60" s="1705"/>
      <c r="J60" s="1705"/>
      <c r="K60" s="1705"/>
      <c r="L60" s="1705"/>
      <c r="M60" s="1705"/>
      <c r="N60" s="1705"/>
      <c r="O60" s="1705"/>
      <c r="P60" s="1643"/>
      <c r="Q60" s="1657"/>
      <c r="R60" s="1657"/>
    </row>
    <row r="61" spans="1:29" s="1653" customFormat="1" ht="12.95" customHeight="1">
      <c r="P61" s="1643"/>
      <c r="Q61" s="1657"/>
      <c r="R61" s="1657"/>
    </row>
    <row r="62" spans="1:29" s="1706" customFormat="1" ht="16.899999999999999" customHeight="1">
      <c r="B62" s="2935" t="s">
        <v>1123</v>
      </c>
      <c r="C62" s="2935"/>
      <c r="D62" s="2935"/>
      <c r="F62" s="1707"/>
      <c r="G62" s="1707"/>
      <c r="H62" s="1707"/>
      <c r="I62" s="1708"/>
      <c r="J62" s="1707"/>
      <c r="K62" s="1707"/>
      <c r="L62" s="1707"/>
      <c r="M62" s="2945" t="s">
        <v>1124</v>
      </c>
      <c r="N62" s="2945"/>
      <c r="O62" s="2945"/>
      <c r="P62" s="1643"/>
      <c r="Q62" s="1657"/>
      <c r="R62" s="1709"/>
    </row>
    <row r="63" spans="1:29" s="1651" customFormat="1" ht="15" customHeight="1">
      <c r="B63" s="2139" t="s">
        <v>1125</v>
      </c>
      <c r="C63" s="2140" t="s">
        <v>1126</v>
      </c>
      <c r="D63" s="2140" t="s">
        <v>264</v>
      </c>
      <c r="E63" s="2140" t="s">
        <v>265</v>
      </c>
      <c r="F63" s="2140" t="s">
        <v>368</v>
      </c>
      <c r="G63" s="2140" t="s">
        <v>369</v>
      </c>
      <c r="H63" s="2140" t="s">
        <v>370</v>
      </c>
      <c r="I63" s="2140" t="s">
        <v>371</v>
      </c>
      <c r="J63" s="2140" t="s">
        <v>260</v>
      </c>
      <c r="K63" s="2140" t="s">
        <v>261</v>
      </c>
      <c r="L63" s="2140" t="s">
        <v>372</v>
      </c>
      <c r="M63" s="2140" t="s">
        <v>262</v>
      </c>
      <c r="N63" s="2140" t="s">
        <v>263</v>
      </c>
      <c r="O63" s="2141" t="s">
        <v>1127</v>
      </c>
      <c r="P63" s="1643"/>
      <c r="Q63" s="1657"/>
      <c r="R63" s="1652"/>
    </row>
    <row r="64" spans="1:29" s="1653" customFormat="1" ht="15" hidden="1" customHeight="1">
      <c r="B64" s="1654">
        <v>2017</v>
      </c>
      <c r="C64" s="1655">
        <v>252</v>
      </c>
      <c r="D64" s="1655">
        <v>241</v>
      </c>
      <c r="E64" s="1655">
        <v>276</v>
      </c>
      <c r="F64" s="1655">
        <v>265</v>
      </c>
      <c r="G64" s="1655">
        <v>293</v>
      </c>
      <c r="H64" s="1655">
        <v>301</v>
      </c>
      <c r="I64" s="1655">
        <v>306</v>
      </c>
      <c r="J64" s="1655">
        <v>282</v>
      </c>
      <c r="K64" s="1655">
        <v>266</v>
      </c>
      <c r="L64" s="1655">
        <v>259</v>
      </c>
      <c r="M64" s="1655">
        <v>261</v>
      </c>
      <c r="N64" s="1655">
        <v>244</v>
      </c>
      <c r="O64" s="1656">
        <f>SUM(C64:N64)</f>
        <v>3246</v>
      </c>
      <c r="P64" s="1643"/>
      <c r="R64" s="1657"/>
    </row>
    <row r="65" spans="2:18" s="1658" customFormat="1" ht="15" hidden="1" customHeight="1">
      <c r="B65" s="1659" t="s">
        <v>374</v>
      </c>
      <c r="C65" s="1660">
        <f>C64/31</f>
        <v>8.129032258064516</v>
      </c>
      <c r="D65" s="1660">
        <f>D64/28</f>
        <v>8.6071428571428577</v>
      </c>
      <c r="E65" s="1660">
        <f>E64/31</f>
        <v>8.9032258064516121</v>
      </c>
      <c r="F65" s="1660">
        <f>F64/30</f>
        <v>8.8333333333333339</v>
      </c>
      <c r="G65" s="1660">
        <f>G64/31</f>
        <v>9.4516129032258061</v>
      </c>
      <c r="H65" s="1660">
        <f>H64/30</f>
        <v>10.033333333333333</v>
      </c>
      <c r="I65" s="1660">
        <f>I64/31</f>
        <v>9.870967741935484</v>
      </c>
      <c r="J65" s="1660">
        <f>J64/31</f>
        <v>9.0967741935483879</v>
      </c>
      <c r="K65" s="1660">
        <f>K64/30</f>
        <v>8.8666666666666671</v>
      </c>
      <c r="L65" s="1660">
        <f>L64/31</f>
        <v>8.3548387096774199</v>
      </c>
      <c r="M65" s="1660">
        <f>M64/30</f>
        <v>8.6999999999999993</v>
      </c>
      <c r="N65" s="1660">
        <f>N64/31</f>
        <v>7.870967741935484</v>
      </c>
      <c r="O65" s="1661">
        <f>O64/365</f>
        <v>8.8931506849315074</v>
      </c>
      <c r="P65" s="1643"/>
      <c r="Q65" s="1653"/>
      <c r="R65" s="1657"/>
    </row>
    <row r="66" spans="2:18" s="1658" customFormat="1" ht="15" hidden="1" customHeight="1">
      <c r="B66" s="1662" t="s">
        <v>375</v>
      </c>
      <c r="C66" s="1663">
        <f>C64/$N$3</f>
        <v>9.0380177762028995E-3</v>
      </c>
      <c r="D66" s="1663">
        <f t="shared" ref="D66:N66" si="28">D64/$N$3</f>
        <v>8.6435011272416613E-3</v>
      </c>
      <c r="E66" s="1663">
        <f t="shared" si="28"/>
        <v>9.8987813739365091E-3</v>
      </c>
      <c r="F66" s="1663">
        <f t="shared" si="28"/>
        <v>9.5042647249752709E-3</v>
      </c>
      <c r="G66" s="1663">
        <f t="shared" si="28"/>
        <v>1.0508488922331149E-2</v>
      </c>
      <c r="H66" s="1663">
        <f t="shared" si="28"/>
        <v>1.0795410121575685E-2</v>
      </c>
      <c r="I66" s="1663">
        <f t="shared" si="28"/>
        <v>1.097473587110352E-2</v>
      </c>
      <c r="J66" s="1663">
        <f t="shared" si="28"/>
        <v>1.0113972273369911E-2</v>
      </c>
      <c r="K66" s="1663">
        <f t="shared" si="28"/>
        <v>9.5401298748808375E-3</v>
      </c>
      <c r="L66" s="1663">
        <f t="shared" si="28"/>
        <v>9.2890738255418676E-3</v>
      </c>
      <c r="M66" s="1663">
        <f t="shared" si="28"/>
        <v>9.3608041253530026E-3</v>
      </c>
      <c r="N66" s="1663">
        <f t="shared" si="28"/>
        <v>8.7510965769583629E-3</v>
      </c>
      <c r="O66" s="1664">
        <f>O64/N3</f>
        <v>0.11641827659347068</v>
      </c>
      <c r="P66" s="1643"/>
      <c r="Q66" s="1653"/>
      <c r="R66" s="1657"/>
    </row>
    <row r="67" spans="2:18" s="1653" customFormat="1" ht="15" hidden="1" customHeight="1">
      <c r="B67" s="1654">
        <v>2018</v>
      </c>
      <c r="C67" s="1655">
        <v>278</v>
      </c>
      <c r="D67" s="1655">
        <v>222</v>
      </c>
      <c r="E67" s="1655">
        <v>263</v>
      </c>
      <c r="F67" s="1655">
        <v>271</v>
      </c>
      <c r="G67" s="1655">
        <v>239</v>
      </c>
      <c r="H67" s="1655">
        <v>279</v>
      </c>
      <c r="I67" s="1655">
        <v>392</v>
      </c>
      <c r="J67" s="1655">
        <v>453</v>
      </c>
      <c r="K67" s="1655">
        <v>311</v>
      </c>
      <c r="L67" s="1655">
        <v>313</v>
      </c>
      <c r="M67" s="1655">
        <v>299</v>
      </c>
      <c r="N67" s="1655">
        <v>323</v>
      </c>
      <c r="O67" s="1656">
        <f>SUM(C67:N67)</f>
        <v>3643</v>
      </c>
      <c r="P67" s="1643"/>
      <c r="R67" s="1657"/>
    </row>
    <row r="68" spans="2:18" s="1658" customFormat="1" ht="15" hidden="1" customHeight="1">
      <c r="B68" s="1659" t="s">
        <v>374</v>
      </c>
      <c r="C68" s="1660">
        <f>C67/31</f>
        <v>8.9677419354838701</v>
      </c>
      <c r="D68" s="1660">
        <f>D67/28</f>
        <v>7.9285714285714288</v>
      </c>
      <c r="E68" s="1660">
        <f>E67/31</f>
        <v>8.4838709677419359</v>
      </c>
      <c r="F68" s="1660">
        <f>F67/30</f>
        <v>9.0333333333333332</v>
      </c>
      <c r="G68" s="1660">
        <f>G67/31</f>
        <v>7.709677419354839</v>
      </c>
      <c r="H68" s="1660">
        <f>H67/30</f>
        <v>9.3000000000000007</v>
      </c>
      <c r="I68" s="1660">
        <f>I67/31</f>
        <v>12.64516129032258</v>
      </c>
      <c r="J68" s="1660">
        <f>J67/31</f>
        <v>14.612903225806452</v>
      </c>
      <c r="K68" s="1660">
        <f>K67/30</f>
        <v>10.366666666666667</v>
      </c>
      <c r="L68" s="1660">
        <f>L67/31</f>
        <v>10.096774193548388</v>
      </c>
      <c r="M68" s="1660">
        <f>M67/30</f>
        <v>9.9666666666666668</v>
      </c>
      <c r="N68" s="1660">
        <f>N67/31</f>
        <v>10.419354838709678</v>
      </c>
      <c r="O68" s="1661">
        <f>O67/365</f>
        <v>9.9808219178082194</v>
      </c>
      <c r="P68" s="1643"/>
      <c r="Q68" s="1653"/>
      <c r="R68" s="1657"/>
    </row>
    <row r="69" spans="2:18" s="1658" customFormat="1" ht="15" hidden="1" customHeight="1">
      <c r="B69" s="1662" t="s">
        <v>375</v>
      </c>
      <c r="C69" s="1663">
        <f t="shared" ref="C69:O69" si="29">C67/$N$3</f>
        <v>9.9705116737476424E-3</v>
      </c>
      <c r="D69" s="1663">
        <f t="shared" si="29"/>
        <v>7.9620632790358865E-3</v>
      </c>
      <c r="E69" s="1663">
        <f t="shared" si="29"/>
        <v>9.4325344251641359E-3</v>
      </c>
      <c r="F69" s="1663">
        <f t="shared" si="29"/>
        <v>9.7194556244086724E-3</v>
      </c>
      <c r="G69" s="1663">
        <f t="shared" si="29"/>
        <v>8.5717708274305263E-3</v>
      </c>
      <c r="H69" s="1663">
        <f t="shared" si="29"/>
        <v>1.0006376823653209E-2</v>
      </c>
      <c r="I69" s="1663">
        <f t="shared" si="29"/>
        <v>1.4059138762982287E-2</v>
      </c>
      <c r="J69" s="1663">
        <f t="shared" si="29"/>
        <v>1.6246912907221876E-2</v>
      </c>
      <c r="K69" s="1663">
        <f t="shared" si="29"/>
        <v>1.1154061620631355E-2</v>
      </c>
      <c r="L69" s="1663">
        <f t="shared" si="29"/>
        <v>1.122579192044249E-2</v>
      </c>
      <c r="M69" s="1663">
        <f t="shared" si="29"/>
        <v>1.072367982176455E-2</v>
      </c>
      <c r="N69" s="1663">
        <f t="shared" si="29"/>
        <v>1.158444341949816E-2</v>
      </c>
      <c r="O69" s="1664">
        <f t="shared" si="29"/>
        <v>0.1306567411059808</v>
      </c>
      <c r="P69" s="1643"/>
      <c r="R69" s="1657"/>
    </row>
    <row r="70" spans="2:18" s="1653" customFormat="1" ht="15" hidden="1" customHeight="1">
      <c r="B70" s="1654">
        <v>2019</v>
      </c>
      <c r="C70" s="1655">
        <f>289+32</f>
        <v>321</v>
      </c>
      <c r="D70" s="1655">
        <f>272+28</f>
        <v>300</v>
      </c>
      <c r="E70" s="1655">
        <f>278+30</f>
        <v>308</v>
      </c>
      <c r="F70" s="1655">
        <v>315</v>
      </c>
      <c r="G70" s="1655">
        <v>386</v>
      </c>
      <c r="H70" s="1655">
        <v>421</v>
      </c>
      <c r="I70" s="1655">
        <v>473</v>
      </c>
      <c r="J70" s="1655">
        <v>469</v>
      </c>
      <c r="K70" s="1655">
        <v>400</v>
      </c>
      <c r="L70" s="1655">
        <v>404</v>
      </c>
      <c r="M70" s="1655">
        <v>349</v>
      </c>
      <c r="N70" s="1655">
        <v>416</v>
      </c>
      <c r="O70" s="1656">
        <f>SUM(C70:N70)</f>
        <v>4562</v>
      </c>
      <c r="P70" s="1643"/>
      <c r="R70" s="1657"/>
    </row>
    <row r="71" spans="2:18" s="1658" customFormat="1" ht="15" hidden="1" customHeight="1">
      <c r="B71" s="1659" t="s">
        <v>374</v>
      </c>
      <c r="C71" s="1660">
        <f>C70/31</f>
        <v>10.35483870967742</v>
      </c>
      <c r="D71" s="1660">
        <f>D70/28</f>
        <v>10.714285714285714</v>
      </c>
      <c r="E71" s="1660">
        <f>E70/31</f>
        <v>9.935483870967742</v>
      </c>
      <c r="F71" s="1660">
        <f>F70/30</f>
        <v>10.5</v>
      </c>
      <c r="G71" s="1660">
        <f>G70/31</f>
        <v>12.451612903225806</v>
      </c>
      <c r="H71" s="1660">
        <f>H70/30</f>
        <v>14.033333333333333</v>
      </c>
      <c r="I71" s="1660">
        <f>I70/31</f>
        <v>15.258064516129032</v>
      </c>
      <c r="J71" s="1660">
        <f>J70/31</f>
        <v>15.129032258064516</v>
      </c>
      <c r="K71" s="1660">
        <f>K70/30</f>
        <v>13.333333333333334</v>
      </c>
      <c r="L71" s="1660">
        <f>L70/31</f>
        <v>13.03225806451613</v>
      </c>
      <c r="M71" s="1660">
        <f>M70/30</f>
        <v>11.633333333333333</v>
      </c>
      <c r="N71" s="1660">
        <f>N70/31</f>
        <v>13.419354838709678</v>
      </c>
      <c r="O71" s="1661">
        <f>O70/365</f>
        <v>12.498630136986302</v>
      </c>
      <c r="P71" s="1643"/>
      <c r="R71" s="1657"/>
    </row>
    <row r="72" spans="2:18" s="1658" customFormat="1" ht="15" hidden="1" customHeight="1">
      <c r="B72" s="1662" t="s">
        <v>375</v>
      </c>
      <c r="C72" s="1663">
        <f t="shared" ref="C72:O72" si="30">C70/$N$3</f>
        <v>1.1512713119687027E-2</v>
      </c>
      <c r="D72" s="1663">
        <f t="shared" si="30"/>
        <v>1.0759544971670117E-2</v>
      </c>
      <c r="E72" s="1663">
        <f t="shared" si="30"/>
        <v>1.1046466170914654E-2</v>
      </c>
      <c r="F72" s="1663">
        <f t="shared" si="30"/>
        <v>1.1297522220253623E-2</v>
      </c>
      <c r="G72" s="1663">
        <f t="shared" si="30"/>
        <v>1.3843947863548884E-2</v>
      </c>
      <c r="H72" s="1663">
        <f t="shared" si="30"/>
        <v>1.5099228110243732E-2</v>
      </c>
      <c r="I72" s="1663">
        <f t="shared" si="30"/>
        <v>1.6964215905333219E-2</v>
      </c>
      <c r="J72" s="1663">
        <f t="shared" si="30"/>
        <v>1.6820755305710949E-2</v>
      </c>
      <c r="K72" s="1663">
        <f t="shared" si="30"/>
        <v>1.4346059962226824E-2</v>
      </c>
      <c r="L72" s="1663">
        <f t="shared" si="30"/>
        <v>1.4489520561849092E-2</v>
      </c>
      <c r="M72" s="1663">
        <f t="shared" si="30"/>
        <v>1.2516937317042903E-2</v>
      </c>
      <c r="N72" s="1663">
        <f t="shared" si="30"/>
        <v>1.4919902360715897E-2</v>
      </c>
      <c r="O72" s="1664">
        <f t="shared" si="30"/>
        <v>0.16361681386919691</v>
      </c>
      <c r="P72" s="1643"/>
      <c r="R72" s="1657"/>
    </row>
    <row r="73" spans="2:18" s="1658" customFormat="1" ht="15" hidden="1" customHeight="1">
      <c r="B73" s="1654">
        <v>2020</v>
      </c>
      <c r="C73" s="1655">
        <f>382+21</f>
        <v>403</v>
      </c>
      <c r="D73" s="1655">
        <v>291</v>
      </c>
      <c r="E73" s="1655">
        <v>300</v>
      </c>
      <c r="F73" s="1655">
        <v>283</v>
      </c>
      <c r="G73" s="1655">
        <v>327</v>
      </c>
      <c r="H73" s="1655">
        <v>371</v>
      </c>
      <c r="I73" s="1655">
        <v>415</v>
      </c>
      <c r="J73" s="1655">
        <v>367</v>
      </c>
      <c r="K73" s="1655">
        <v>355</v>
      </c>
      <c r="L73" s="1655">
        <v>295</v>
      </c>
      <c r="M73" s="1655">
        <v>273</v>
      </c>
      <c r="N73" s="1655">
        <v>282</v>
      </c>
      <c r="O73" s="1656">
        <f>SUM(C73:N73)</f>
        <v>3962</v>
      </c>
      <c r="P73" s="1643"/>
      <c r="R73" s="1657"/>
    </row>
    <row r="74" spans="2:18" s="1658" customFormat="1" ht="15" hidden="1" customHeight="1">
      <c r="B74" s="1659" t="s">
        <v>374</v>
      </c>
      <c r="C74" s="1660">
        <f>C73/31</f>
        <v>13</v>
      </c>
      <c r="D74" s="1660">
        <f>D73/29</f>
        <v>10.03448275862069</v>
      </c>
      <c r="E74" s="1660">
        <f>E73/31</f>
        <v>9.67741935483871</v>
      </c>
      <c r="F74" s="1660">
        <f>F73/30</f>
        <v>9.4333333333333336</v>
      </c>
      <c r="G74" s="1660">
        <f>G73/31</f>
        <v>10.548387096774194</v>
      </c>
      <c r="H74" s="1660">
        <f>H73/30</f>
        <v>12.366666666666667</v>
      </c>
      <c r="I74" s="1660">
        <f>I73/31</f>
        <v>13.387096774193548</v>
      </c>
      <c r="J74" s="1660">
        <f>J73/31</f>
        <v>11.838709677419354</v>
      </c>
      <c r="K74" s="1660">
        <f>K73/30</f>
        <v>11.833333333333334</v>
      </c>
      <c r="L74" s="1660">
        <f>L73/31</f>
        <v>9.5161290322580641</v>
      </c>
      <c r="M74" s="1660">
        <f>M73/30</f>
        <v>9.1</v>
      </c>
      <c r="N74" s="1660">
        <f>N73/31</f>
        <v>9.0967741935483879</v>
      </c>
      <c r="O74" s="1661">
        <f>O73/366</f>
        <v>10.825136612021858</v>
      </c>
      <c r="P74" s="1643"/>
      <c r="R74" s="1657"/>
    </row>
    <row r="75" spans="2:18" s="1658" customFormat="1" ht="15" hidden="1" customHeight="1">
      <c r="B75" s="1662" t="s">
        <v>375</v>
      </c>
      <c r="C75" s="1663">
        <f t="shared" ref="C75:O75" si="31">C73/$N$3</f>
        <v>1.4453655411943525E-2</v>
      </c>
      <c r="D75" s="1663">
        <f t="shared" si="31"/>
        <v>1.0436758622520014E-2</v>
      </c>
      <c r="E75" s="1663">
        <f t="shared" si="31"/>
        <v>1.0759544971670117E-2</v>
      </c>
      <c r="F75" s="1663">
        <f t="shared" si="31"/>
        <v>1.0149837423275477E-2</v>
      </c>
      <c r="G75" s="1663">
        <f t="shared" si="31"/>
        <v>1.1727904019120428E-2</v>
      </c>
      <c r="H75" s="1663">
        <f t="shared" si="31"/>
        <v>1.3305970614965379E-2</v>
      </c>
      <c r="I75" s="1663">
        <f t="shared" si="31"/>
        <v>1.488403721081033E-2</v>
      </c>
      <c r="J75" s="1663">
        <f t="shared" si="31"/>
        <v>1.3162510015343111E-2</v>
      </c>
      <c r="K75" s="1663">
        <f t="shared" si="31"/>
        <v>1.2732128216476306E-2</v>
      </c>
      <c r="L75" s="1663">
        <f t="shared" si="31"/>
        <v>1.0580219222142282E-2</v>
      </c>
      <c r="M75" s="1663">
        <f t="shared" si="31"/>
        <v>9.7911859242198074E-3</v>
      </c>
      <c r="N75" s="1663">
        <f t="shared" si="31"/>
        <v>1.0113972273369911E-2</v>
      </c>
      <c r="O75" s="1664">
        <f t="shared" si="31"/>
        <v>0.14209772392585668</v>
      </c>
      <c r="P75" s="1643"/>
      <c r="R75" s="1657"/>
    </row>
    <row r="76" spans="2:18" s="1658" customFormat="1" ht="15" customHeight="1">
      <c r="B76" s="1654">
        <v>2022</v>
      </c>
      <c r="C76" s="1655">
        <v>303</v>
      </c>
      <c r="D76" s="1655">
        <v>307</v>
      </c>
      <c r="E76" s="1655">
        <v>252</v>
      </c>
      <c r="F76" s="1655">
        <v>323</v>
      </c>
      <c r="G76" s="1655">
        <v>375</v>
      </c>
      <c r="H76" s="1655">
        <v>392</v>
      </c>
      <c r="I76" s="1655">
        <v>438</v>
      </c>
      <c r="J76" s="1655">
        <v>492</v>
      </c>
      <c r="K76" s="1655">
        <v>350</v>
      </c>
      <c r="L76" s="1655">
        <v>321</v>
      </c>
      <c r="M76" s="1655">
        <v>282</v>
      </c>
      <c r="N76" s="1655">
        <v>275</v>
      </c>
      <c r="O76" s="1656">
        <f>SUM(C76:N76)</f>
        <v>4110</v>
      </c>
      <c r="P76" s="1643"/>
      <c r="R76" s="1657"/>
    </row>
    <row r="77" spans="2:18" s="1658" customFormat="1" ht="15" customHeight="1">
      <c r="B77" s="1659" t="s">
        <v>374</v>
      </c>
      <c r="C77" s="1660">
        <v>9.7741935483870961</v>
      </c>
      <c r="D77" s="1660">
        <v>10.964285714285714</v>
      </c>
      <c r="E77" s="1660">
        <v>9</v>
      </c>
      <c r="F77" s="1660">
        <v>11.535714285714286</v>
      </c>
      <c r="G77" s="1660">
        <v>13.392857142857142</v>
      </c>
      <c r="H77" s="1660">
        <v>14</v>
      </c>
      <c r="I77" s="1660">
        <v>15.642857142857142</v>
      </c>
      <c r="J77" s="1660">
        <v>17.571428571428573</v>
      </c>
      <c r="K77" s="1660">
        <v>12.5</v>
      </c>
      <c r="L77" s="1660">
        <v>11.464285714285714</v>
      </c>
      <c r="M77" s="1660">
        <v>10.071428571428571</v>
      </c>
      <c r="N77" s="1660">
        <v>9.8214285714285712</v>
      </c>
      <c r="O77" s="1661">
        <f>O76/Y38</f>
        <v>16.913580246913579</v>
      </c>
      <c r="P77" s="1643"/>
      <c r="R77" s="1657"/>
    </row>
    <row r="78" spans="2:18" s="1658" customFormat="1" ht="15" customHeight="1">
      <c r="B78" s="1662" t="s">
        <v>375</v>
      </c>
      <c r="C78" s="1663">
        <v>1.0867140421386819E-2</v>
      </c>
      <c r="D78" s="1663">
        <v>1.1010601021009087E-2</v>
      </c>
      <c r="E78" s="1663">
        <v>9.0380177762028995E-3</v>
      </c>
      <c r="F78" s="1663">
        <v>1.158444341949816E-2</v>
      </c>
      <c r="G78" s="1663">
        <v>1.3449431214587648E-2</v>
      </c>
      <c r="H78" s="1663">
        <v>1.4059138762982287E-2</v>
      </c>
      <c r="I78" s="1663">
        <v>1.5708935658638373E-2</v>
      </c>
      <c r="J78" s="1663">
        <v>1.7645653753538992E-2</v>
      </c>
      <c r="K78" s="1663">
        <v>1.2552802466948471E-2</v>
      </c>
      <c r="L78" s="1663">
        <v>1.1512713119687027E-2</v>
      </c>
      <c r="M78" s="1663">
        <v>1.0113972273369911E-2</v>
      </c>
      <c r="N78" s="1663">
        <v>9.8629162240309407E-3</v>
      </c>
      <c r="O78" s="1664">
        <f t="shared" ref="O78" si="32">O76/$N$3</f>
        <v>0.14740576611188061</v>
      </c>
      <c r="P78" s="1643"/>
      <c r="R78" s="1657"/>
    </row>
    <row r="79" spans="2:18" s="1658" customFormat="1" ht="15" customHeight="1">
      <c r="B79" s="1654">
        <v>2023</v>
      </c>
      <c r="C79" s="1655">
        <v>297</v>
      </c>
      <c r="D79" s="1655">
        <v>229</v>
      </c>
      <c r="E79" s="1655">
        <v>294</v>
      </c>
      <c r="F79" s="1655">
        <v>321</v>
      </c>
      <c r="G79" s="1655">
        <v>364</v>
      </c>
      <c r="H79" s="1655">
        <v>401</v>
      </c>
      <c r="I79" s="1710">
        <v>400</v>
      </c>
      <c r="J79" s="1710">
        <v>489</v>
      </c>
      <c r="K79" s="1655">
        <v>425</v>
      </c>
      <c r="L79" s="1655">
        <v>374</v>
      </c>
      <c r="M79" s="1655">
        <v>338</v>
      </c>
      <c r="N79" s="1655">
        <v>247</v>
      </c>
      <c r="O79" s="1656">
        <v>4110</v>
      </c>
      <c r="P79" s="1643"/>
      <c r="R79" s="1657"/>
    </row>
    <row r="80" spans="2:18" s="1658" customFormat="1" ht="15" customHeight="1">
      <c r="B80" s="1659" t="s">
        <v>374</v>
      </c>
      <c r="C80" s="1660">
        <v>9.5806451612903221</v>
      </c>
      <c r="D80" s="1660">
        <v>3.8813559322033897</v>
      </c>
      <c r="E80" s="1660">
        <v>3.2666666666666666</v>
      </c>
      <c r="F80" s="1660">
        <v>2.6749999999999998</v>
      </c>
      <c r="G80" s="1660">
        <v>2.4105960264900661</v>
      </c>
      <c r="H80" s="1660">
        <v>2.2154696132596685</v>
      </c>
      <c r="I80" s="1711">
        <v>1.8867924528301887</v>
      </c>
      <c r="J80" s="1711">
        <v>2.0123456790123457</v>
      </c>
      <c r="K80" s="1711">
        <v>1.5567765567765568</v>
      </c>
      <c r="L80" s="1711">
        <v>1.2302631578947369</v>
      </c>
      <c r="M80" s="1711">
        <v>1.0119760479041917</v>
      </c>
      <c r="N80" s="1711">
        <v>0.67671232876712328</v>
      </c>
      <c r="O80" s="1661">
        <v>11.260273972602739</v>
      </c>
      <c r="P80" s="1643"/>
      <c r="R80" s="1657"/>
    </row>
    <row r="81" spans="2:18" s="1658" customFormat="1" ht="15" customHeight="1">
      <c r="B81" s="1662" t="s">
        <v>375</v>
      </c>
      <c r="C81" s="1663">
        <v>1.0651949521953417E-2</v>
      </c>
      <c r="D81" s="1663">
        <v>8.2131193283748564E-3</v>
      </c>
      <c r="E81" s="1663">
        <v>1.0544354072236715E-2</v>
      </c>
      <c r="F81" s="1663">
        <v>1.1512713119687027E-2</v>
      </c>
      <c r="G81" s="1663">
        <v>1.3054914565626409E-2</v>
      </c>
      <c r="H81" s="1663">
        <v>1.438192511213239E-2</v>
      </c>
      <c r="I81" s="1663">
        <v>1.4346059962226824E-2</v>
      </c>
      <c r="J81" s="1663">
        <v>1.7538058303822292E-2</v>
      </c>
      <c r="K81" s="1663">
        <v>1.5242688709866E-2</v>
      </c>
      <c r="L81" s="1663">
        <v>1.3413566064682079E-2</v>
      </c>
      <c r="M81" s="1663">
        <v>1.2122420668081666E-2</v>
      </c>
      <c r="N81" s="1663">
        <v>8.8586920266750628E-3</v>
      </c>
      <c r="O81" s="1664">
        <v>0.14740576611188061</v>
      </c>
      <c r="P81" s="1643"/>
      <c r="R81" s="1657"/>
    </row>
    <row r="82" spans="2:18" s="1658" customFormat="1" ht="15" customHeight="1">
      <c r="B82" s="1654">
        <v>2024</v>
      </c>
      <c r="C82" s="1655">
        <v>269</v>
      </c>
      <c r="D82" s="1655">
        <v>261</v>
      </c>
      <c r="E82" s="1655">
        <v>308</v>
      </c>
      <c r="F82" s="1655">
        <v>358</v>
      </c>
      <c r="G82" s="1655">
        <v>351</v>
      </c>
      <c r="H82" s="1655">
        <v>411</v>
      </c>
      <c r="I82" s="1710">
        <v>504</v>
      </c>
      <c r="J82" s="1710"/>
      <c r="K82" s="1655"/>
      <c r="L82" s="1655"/>
      <c r="M82" s="1655"/>
      <c r="N82" s="1655"/>
      <c r="O82" s="1656">
        <f>SUM(C82:N82)</f>
        <v>2462</v>
      </c>
      <c r="P82" s="1643"/>
      <c r="Q82" s="1712" t="s">
        <v>1128</v>
      </c>
      <c r="R82" s="1657"/>
    </row>
    <row r="83" spans="2:18" s="1658" customFormat="1" ht="15" customHeight="1">
      <c r="B83" s="1659" t="s">
        <v>374</v>
      </c>
      <c r="C83" s="1660">
        <f t="shared" ref="C83:I83" si="33">C82/R38</f>
        <v>8.67741935483871</v>
      </c>
      <c r="D83" s="1660">
        <f t="shared" si="33"/>
        <v>4.4237288135593218</v>
      </c>
      <c r="E83" s="1660">
        <f t="shared" si="33"/>
        <v>3.4222222222222221</v>
      </c>
      <c r="F83" s="1660">
        <f t="shared" si="33"/>
        <v>2.9833333333333334</v>
      </c>
      <c r="G83" s="1660">
        <f t="shared" si="33"/>
        <v>2.3245033112582782</v>
      </c>
      <c r="H83" s="1660">
        <f t="shared" si="33"/>
        <v>2.270718232044199</v>
      </c>
      <c r="I83" s="1660">
        <f t="shared" si="33"/>
        <v>2.3773584905660377</v>
      </c>
      <c r="J83" s="1660"/>
      <c r="K83" s="1660"/>
      <c r="L83" s="1660"/>
      <c r="M83" s="1660"/>
      <c r="N83" s="1660"/>
      <c r="O83" s="1661">
        <f>O82/AC38</f>
        <v>6.7452054794520544</v>
      </c>
      <c r="P83" s="1643"/>
      <c r="R83" s="1657"/>
    </row>
    <row r="84" spans="2:18" s="1658" customFormat="1" ht="15" customHeight="1">
      <c r="B84" s="1662" t="s">
        <v>375</v>
      </c>
      <c r="C84" s="1663">
        <f t="shared" ref="C84:F84" si="34">C82/$N$3</f>
        <v>9.6477253245975392E-3</v>
      </c>
      <c r="D84" s="1663">
        <f t="shared" si="34"/>
        <v>9.3608041253530026E-3</v>
      </c>
      <c r="E84" s="1663">
        <f t="shared" si="34"/>
        <v>1.1046466170914654E-2</v>
      </c>
      <c r="F84" s="1663">
        <f t="shared" si="34"/>
        <v>1.2839723666193008E-2</v>
      </c>
      <c r="G84" s="1663">
        <f t="shared" ref="G84:H84" si="35">G82/$N$3</f>
        <v>1.2588667616854038E-2</v>
      </c>
      <c r="H84" s="1663">
        <f t="shared" si="35"/>
        <v>1.4740576611188062E-2</v>
      </c>
      <c r="I84" s="1663">
        <f t="shared" ref="I84" si="36">I82/$N$3</f>
        <v>1.8076035552405799E-2</v>
      </c>
      <c r="J84" s="1663"/>
      <c r="K84" s="1663"/>
      <c r="L84" s="1663"/>
      <c r="M84" s="1663"/>
      <c r="N84" s="1663"/>
      <c r="O84" s="1664">
        <f t="shared" ref="O84" si="37">O82/$N$3</f>
        <v>8.8299999067506102E-2</v>
      </c>
      <c r="P84" s="1643"/>
      <c r="R84" s="1657"/>
    </row>
    <row r="85" spans="2:18" s="1653" customFormat="1" ht="15" customHeight="1">
      <c r="B85" s="1667" t="s">
        <v>376</v>
      </c>
      <c r="C85" s="1668">
        <f t="shared" ref="C85:F85" si="38">C82-C79</f>
        <v>-28</v>
      </c>
      <c r="D85" s="1668">
        <f t="shared" si="38"/>
        <v>32</v>
      </c>
      <c r="E85" s="1668">
        <f t="shared" si="38"/>
        <v>14</v>
      </c>
      <c r="F85" s="1668">
        <f t="shared" si="38"/>
        <v>37</v>
      </c>
      <c r="G85" s="1668">
        <f t="shared" ref="G85:H85" si="39">G82-G79</f>
        <v>-13</v>
      </c>
      <c r="H85" s="1668">
        <f t="shared" si="39"/>
        <v>10</v>
      </c>
      <c r="I85" s="1668">
        <f t="shared" ref="I85" si="40">I82-I79</f>
        <v>104</v>
      </c>
      <c r="J85" s="1668"/>
      <c r="K85" s="1668"/>
      <c r="L85" s="1668"/>
      <c r="M85" s="1668"/>
      <c r="N85" s="1668"/>
      <c r="O85" s="1669">
        <f t="shared" ref="O85" si="41">O82-O76</f>
        <v>-1648</v>
      </c>
      <c r="P85" s="1643"/>
      <c r="R85" s="1657"/>
    </row>
    <row r="86" spans="2:18" s="1658" customFormat="1" ht="15" customHeight="1">
      <c r="B86" s="1662" t="s">
        <v>166</v>
      </c>
      <c r="C86" s="1670">
        <f t="shared" ref="C86:F86" si="42">C85/C79</f>
        <v>-9.4276094276094277E-2</v>
      </c>
      <c r="D86" s="1670">
        <f t="shared" si="42"/>
        <v>0.13973799126637554</v>
      </c>
      <c r="E86" s="1670">
        <f t="shared" si="42"/>
        <v>4.7619047619047616E-2</v>
      </c>
      <c r="F86" s="1670">
        <f t="shared" si="42"/>
        <v>0.11526479750778816</v>
      </c>
      <c r="G86" s="1670">
        <f t="shared" ref="G86:H86" si="43">G85/G79</f>
        <v>-3.5714285714285712E-2</v>
      </c>
      <c r="H86" s="1670">
        <f t="shared" si="43"/>
        <v>2.4937655860349128E-2</v>
      </c>
      <c r="I86" s="1670">
        <f t="shared" ref="I86" si="44">I85/I79</f>
        <v>0.26</v>
      </c>
      <c r="J86" s="1670"/>
      <c r="K86" s="1670"/>
      <c r="L86" s="1670"/>
      <c r="M86" s="1670"/>
      <c r="N86" s="1670"/>
      <c r="O86" s="1671">
        <f t="shared" ref="O86" si="45">O85/O76</f>
        <v>-0.40097323600973234</v>
      </c>
      <c r="P86" s="1643"/>
      <c r="R86" s="1657"/>
    </row>
    <row r="87" spans="2:18" s="1653" customFormat="1" ht="12.95" customHeight="1">
      <c r="C87" s="1675"/>
      <c r="D87" s="1675"/>
      <c r="E87" s="1675"/>
      <c r="F87" s="1675"/>
      <c r="G87" s="1675"/>
      <c r="H87" s="1675"/>
      <c r="I87" s="1675"/>
      <c r="J87" s="1675"/>
      <c r="K87" s="1675"/>
      <c r="L87" s="1675"/>
      <c r="M87" s="1675"/>
      <c r="N87" s="1675"/>
      <c r="O87" s="1675"/>
      <c r="P87" s="1643"/>
      <c r="Q87" s="1658"/>
      <c r="R87" s="1657"/>
    </row>
    <row r="88" spans="2:18" s="1653" customFormat="1" ht="12.75" customHeight="1">
      <c r="B88" s="1713" t="s">
        <v>1129</v>
      </c>
      <c r="C88" s="1713"/>
      <c r="D88" s="1713"/>
      <c r="E88" s="1714"/>
      <c r="F88" s="1675"/>
      <c r="G88" s="1675"/>
      <c r="H88" s="1675"/>
      <c r="I88" s="1675"/>
      <c r="J88" s="1675"/>
      <c r="K88" s="1675"/>
      <c r="L88" s="1675"/>
      <c r="M88" s="2934" t="s">
        <v>1130</v>
      </c>
      <c r="N88" s="2934"/>
      <c r="O88" s="2934"/>
      <c r="P88" s="1643"/>
      <c r="R88" s="1657"/>
    </row>
    <row r="89" spans="2:18" s="1653" customFormat="1" ht="15" customHeight="1">
      <c r="B89" s="2144" t="s">
        <v>379</v>
      </c>
      <c r="C89" s="2142" t="s">
        <v>380</v>
      </c>
      <c r="D89" s="2142" t="s">
        <v>264</v>
      </c>
      <c r="E89" s="2142" t="s">
        <v>265</v>
      </c>
      <c r="F89" s="2142" t="s">
        <v>368</v>
      </c>
      <c r="G89" s="2142" t="s">
        <v>369</v>
      </c>
      <c r="H89" s="2142" t="s">
        <v>370</v>
      </c>
      <c r="I89" s="2142" t="s">
        <v>371</v>
      </c>
      <c r="J89" s="2142" t="s">
        <v>260</v>
      </c>
      <c r="K89" s="2142" t="s">
        <v>261</v>
      </c>
      <c r="L89" s="2142" t="s">
        <v>372</v>
      </c>
      <c r="M89" s="2142" t="s">
        <v>262</v>
      </c>
      <c r="N89" s="2142" t="s">
        <v>263</v>
      </c>
      <c r="O89" s="2143" t="s">
        <v>381</v>
      </c>
      <c r="P89" s="1643"/>
      <c r="R89" s="1657"/>
    </row>
    <row r="90" spans="2:18" s="1653" customFormat="1" ht="15" hidden="1" customHeight="1">
      <c r="B90" s="1677">
        <v>2017</v>
      </c>
      <c r="C90" s="1678">
        <v>793029</v>
      </c>
      <c r="D90" s="1678">
        <v>748243</v>
      </c>
      <c r="E90" s="1678">
        <v>862440</v>
      </c>
      <c r="F90" s="1678">
        <v>878639</v>
      </c>
      <c r="G90" s="1678">
        <v>914520</v>
      </c>
      <c r="H90" s="1678">
        <v>938527</v>
      </c>
      <c r="I90" s="1678">
        <v>955115</v>
      </c>
      <c r="J90" s="1678">
        <v>881459</v>
      </c>
      <c r="K90" s="1678">
        <v>831128</v>
      </c>
      <c r="L90" s="1678">
        <v>831128</v>
      </c>
      <c r="M90" s="1678">
        <v>817382</v>
      </c>
      <c r="N90" s="1678">
        <v>747108</v>
      </c>
      <c r="O90" s="1715">
        <f t="shared" ref="O90:O96" si="46">SUM(C90:N90)</f>
        <v>10198718</v>
      </c>
      <c r="P90" s="1643"/>
      <c r="R90" s="1657"/>
    </row>
    <row r="91" spans="2:18" s="1653" customFormat="1" ht="15" hidden="1" customHeight="1">
      <c r="B91" s="1677">
        <v>2018</v>
      </c>
      <c r="C91" s="1678">
        <v>929031</v>
      </c>
      <c r="D91" s="1678">
        <v>731727</v>
      </c>
      <c r="E91" s="1678">
        <v>862507</v>
      </c>
      <c r="F91" s="1678">
        <v>891512</v>
      </c>
      <c r="G91" s="1678">
        <v>921196</v>
      </c>
      <c r="H91" s="1678">
        <v>919354</v>
      </c>
      <c r="I91" s="1678">
        <v>1291718</v>
      </c>
      <c r="J91" s="1678">
        <v>1491158</v>
      </c>
      <c r="K91" s="1678">
        <v>1025770</v>
      </c>
      <c r="L91" s="1678">
        <v>1035570</v>
      </c>
      <c r="M91" s="1678">
        <v>988666</v>
      </c>
      <c r="N91" s="1678">
        <v>1069632</v>
      </c>
      <c r="O91" s="1715">
        <f t="shared" si="46"/>
        <v>12157841</v>
      </c>
      <c r="P91" s="1643"/>
      <c r="R91" s="1657"/>
    </row>
    <row r="92" spans="2:18" s="1653" customFormat="1" ht="15" hidden="1" customHeight="1">
      <c r="B92" s="1677">
        <v>2019</v>
      </c>
      <c r="C92" s="1678">
        <v>1137648</v>
      </c>
      <c r="D92" s="1678">
        <v>955201</v>
      </c>
      <c r="E92" s="1678">
        <v>1077523</v>
      </c>
      <c r="F92" s="1678">
        <v>1102178</v>
      </c>
      <c r="G92" s="1678">
        <v>1348097</v>
      </c>
      <c r="H92" s="1678">
        <v>1467547</v>
      </c>
      <c r="I92" s="1678">
        <v>1647590</v>
      </c>
      <c r="J92" s="1678">
        <v>1632095.6838253231</v>
      </c>
      <c r="K92" s="1678">
        <v>1401928.8265728478</v>
      </c>
      <c r="L92" s="1678">
        <v>1410730.2991428734</v>
      </c>
      <c r="M92" s="1678">
        <v>1220080.308425243</v>
      </c>
      <c r="N92" s="1678">
        <v>1408132</v>
      </c>
      <c r="O92" s="1715">
        <f t="shared" si="46"/>
        <v>15808751.117966287</v>
      </c>
      <c r="P92" s="1643"/>
      <c r="R92" s="1657"/>
    </row>
    <row r="93" spans="2:18" s="1653" customFormat="1" ht="15" hidden="1" customHeight="1">
      <c r="B93" s="1677">
        <v>2020</v>
      </c>
      <c r="C93" s="1678">
        <v>1342775</v>
      </c>
      <c r="D93" s="1678">
        <v>1020700</v>
      </c>
      <c r="E93" s="1678">
        <v>983154</v>
      </c>
      <c r="F93" s="1678">
        <v>993756.11859361921</v>
      </c>
      <c r="G93" s="1678">
        <v>1143620</v>
      </c>
      <c r="H93" s="1678">
        <v>1294091.338126289</v>
      </c>
      <c r="I93" s="1678">
        <v>1446681</v>
      </c>
      <c r="J93" s="1678">
        <v>1281202</v>
      </c>
      <c r="K93" s="1678">
        <v>1246402.9912778737</v>
      </c>
      <c r="L93" s="1678">
        <v>1037498.5325148667</v>
      </c>
      <c r="M93" s="1678">
        <v>960392.17166770541</v>
      </c>
      <c r="N93" s="1678">
        <v>995789.70379974064</v>
      </c>
      <c r="O93" s="1715">
        <f t="shared" si="46"/>
        <v>13746062.855980096</v>
      </c>
      <c r="P93" s="1643"/>
      <c r="R93" s="1657"/>
    </row>
    <row r="94" spans="2:18" s="1653" customFormat="1" ht="15" customHeight="1">
      <c r="B94" s="1677">
        <v>2022</v>
      </c>
      <c r="C94" s="1678">
        <v>1118797</v>
      </c>
      <c r="D94" s="1678">
        <v>1054804</v>
      </c>
      <c r="E94" s="1678">
        <v>934808</v>
      </c>
      <c r="F94" s="1678">
        <v>1097916</v>
      </c>
      <c r="G94" s="1678">
        <v>1269877</v>
      </c>
      <c r="H94" s="1678">
        <v>1323586</v>
      </c>
      <c r="I94" s="1678">
        <v>1478200</v>
      </c>
      <c r="J94" s="1678">
        <v>1661259</v>
      </c>
      <c r="K94" s="1678">
        <v>1185905</v>
      </c>
      <c r="L94" s="1678">
        <v>1092897</v>
      </c>
      <c r="M94" s="1678">
        <v>985773</v>
      </c>
      <c r="N94" s="1678">
        <v>976931</v>
      </c>
      <c r="O94" s="1715">
        <f t="shared" si="46"/>
        <v>14180753</v>
      </c>
      <c r="P94" s="1643"/>
      <c r="R94" s="1657"/>
    </row>
    <row r="95" spans="2:18" s="1653" customFormat="1" ht="15" customHeight="1">
      <c r="B95" s="1677">
        <v>2023</v>
      </c>
      <c r="C95" s="1678">
        <v>1128232</v>
      </c>
      <c r="D95" s="1678">
        <v>865516</v>
      </c>
      <c r="E95" s="1678">
        <v>1099333</v>
      </c>
      <c r="F95" s="1678">
        <v>1129160</v>
      </c>
      <c r="G95" s="1678">
        <v>1277188</v>
      </c>
      <c r="H95" s="1678">
        <v>1406150</v>
      </c>
      <c r="I95" s="1678">
        <v>1398895</v>
      </c>
      <c r="J95" s="1678">
        <v>1710048</v>
      </c>
      <c r="K95" s="1678">
        <v>1489392</v>
      </c>
      <c r="L95" s="1678">
        <v>1317546</v>
      </c>
      <c r="M95" s="1678">
        <v>1242249</v>
      </c>
      <c r="N95" s="1678">
        <v>937850</v>
      </c>
      <c r="O95" s="1715">
        <v>14180753</v>
      </c>
      <c r="P95" s="1643"/>
      <c r="R95" s="1657"/>
    </row>
    <row r="96" spans="2:18" s="1653" customFormat="1" ht="15" customHeight="1">
      <c r="B96" s="1677">
        <v>2024</v>
      </c>
      <c r="C96" s="1678">
        <v>1019254</v>
      </c>
      <c r="D96" s="1678">
        <v>989379</v>
      </c>
      <c r="E96" s="1678">
        <v>1139708</v>
      </c>
      <c r="F96" s="1678">
        <v>1251594</v>
      </c>
      <c r="G96" s="1678">
        <v>1228528</v>
      </c>
      <c r="H96" s="1678">
        <v>1439320</v>
      </c>
      <c r="I96" s="1678">
        <v>1502905</v>
      </c>
      <c r="J96" s="1678"/>
      <c r="K96" s="1678"/>
      <c r="L96" s="1678"/>
      <c r="M96" s="1678"/>
      <c r="N96" s="1678"/>
      <c r="O96" s="1715">
        <f t="shared" si="46"/>
        <v>8570688</v>
      </c>
      <c r="P96" s="1643"/>
      <c r="Q96" s="1716" t="s">
        <v>1131</v>
      </c>
      <c r="R96" s="1657"/>
    </row>
    <row r="97" spans="2:30" s="1653" customFormat="1" ht="15" customHeight="1">
      <c r="B97" s="1667" t="s">
        <v>376</v>
      </c>
      <c r="C97" s="1717">
        <f t="shared" ref="C97:H97" si="47">C96-C95</f>
        <v>-108978</v>
      </c>
      <c r="D97" s="1717">
        <f t="shared" si="47"/>
        <v>123863</v>
      </c>
      <c r="E97" s="1717">
        <f t="shared" si="47"/>
        <v>40375</v>
      </c>
      <c r="F97" s="1717">
        <f t="shared" si="47"/>
        <v>122434</v>
      </c>
      <c r="G97" s="1717">
        <f t="shared" si="47"/>
        <v>-48660</v>
      </c>
      <c r="H97" s="1717">
        <f t="shared" si="47"/>
        <v>33170</v>
      </c>
      <c r="I97" s="1717">
        <f t="shared" ref="I97" si="48">I96-I95</f>
        <v>104010</v>
      </c>
      <c r="J97" s="1717"/>
      <c r="K97" s="1717"/>
      <c r="L97" s="1717"/>
      <c r="M97" s="1717"/>
      <c r="N97" s="1717"/>
      <c r="O97" s="1718">
        <f t="shared" ref="O97" si="49">O96-O94</f>
        <v>-5610065</v>
      </c>
      <c r="P97" s="1643"/>
      <c r="R97" s="1657"/>
    </row>
    <row r="98" spans="2:30" s="1653" customFormat="1" ht="15" customHeight="1">
      <c r="B98" s="1692" t="s">
        <v>166</v>
      </c>
      <c r="C98" s="1719">
        <f t="shared" ref="C98:F98" si="50">C97/C95</f>
        <v>-9.6591835721730995E-2</v>
      </c>
      <c r="D98" s="1719">
        <f t="shared" si="50"/>
        <v>0.14310885067404877</v>
      </c>
      <c r="E98" s="1719">
        <f t="shared" si="50"/>
        <v>3.6726815259798443E-2</v>
      </c>
      <c r="F98" s="1719">
        <f t="shared" si="50"/>
        <v>0.10842927485918737</v>
      </c>
      <c r="G98" s="1719">
        <f t="shared" ref="G98:H98" si="51">G97/G95</f>
        <v>-3.8099324453408585E-2</v>
      </c>
      <c r="H98" s="1719">
        <f t="shared" si="51"/>
        <v>2.3589233012125305E-2</v>
      </c>
      <c r="I98" s="1719">
        <f t="shared" ref="I98" si="52">I97/I95</f>
        <v>7.4351541752597589E-2</v>
      </c>
      <c r="J98" s="1719"/>
      <c r="K98" s="1719"/>
      <c r="L98" s="1719"/>
      <c r="M98" s="1719"/>
      <c r="N98" s="1719"/>
      <c r="O98" s="1720">
        <f t="shared" ref="O98" si="53">O97/O94</f>
        <v>-0.39561122036326279</v>
      </c>
      <c r="P98" s="1643"/>
      <c r="R98" s="1657"/>
    </row>
    <row r="99" spans="2:30" s="1653" customFormat="1" ht="12.95" customHeight="1">
      <c r="B99" s="1714"/>
      <c r="C99" s="1714"/>
      <c r="D99" s="1714"/>
      <c r="E99" s="1714"/>
      <c r="F99" s="1714"/>
      <c r="G99" s="1714"/>
      <c r="H99" s="1714"/>
      <c r="I99" s="1714"/>
      <c r="J99" s="1714"/>
      <c r="K99" s="1714"/>
      <c r="L99" s="1714"/>
      <c r="M99" s="1714"/>
      <c r="N99" s="1714"/>
      <c r="O99" s="1714"/>
      <c r="P99" s="1643"/>
      <c r="R99" s="1657"/>
    </row>
    <row r="100" spans="2:30" s="1653" customFormat="1" ht="12.95" customHeight="1">
      <c r="B100" s="1672"/>
      <c r="C100" s="1673"/>
      <c r="D100" s="1673"/>
      <c r="E100" s="1673"/>
      <c r="F100" s="1673"/>
      <c r="G100" s="1673"/>
      <c r="H100" s="1673"/>
      <c r="I100" s="1673"/>
      <c r="J100" s="1673"/>
      <c r="K100" s="1695" t="s">
        <v>379</v>
      </c>
      <c r="L100" s="1696" t="s">
        <v>382</v>
      </c>
      <c r="M100" s="1696" t="s">
        <v>374</v>
      </c>
      <c r="N100" s="1696" t="s">
        <v>383</v>
      </c>
      <c r="O100" s="1697" t="s">
        <v>384</v>
      </c>
      <c r="P100" s="1643"/>
      <c r="R100" s="1657"/>
    </row>
    <row r="101" spans="2:30" s="1653" customFormat="1" ht="12.95" hidden="1" customHeight="1">
      <c r="B101" s="1673"/>
      <c r="C101" s="1673"/>
      <c r="D101" s="1673"/>
      <c r="E101" s="1673"/>
      <c r="F101" s="1673"/>
      <c r="G101" s="1673"/>
      <c r="H101" s="1673"/>
      <c r="I101" s="1673"/>
      <c r="J101" s="1673"/>
      <c r="K101" s="1698">
        <f>B90</f>
        <v>2017</v>
      </c>
      <c r="L101" s="1699">
        <f>O90/12</f>
        <v>849893.16666666663</v>
      </c>
      <c r="M101" s="1699">
        <f>O90/365</f>
        <v>27941.693150684932</v>
      </c>
      <c r="N101" s="1699">
        <f>MAX(C90:N90)</f>
        <v>955115</v>
      </c>
      <c r="O101" s="1700">
        <f>MIN(C90:N90)</f>
        <v>747108</v>
      </c>
      <c r="P101" s="1643"/>
      <c r="R101" s="1657"/>
    </row>
    <row r="102" spans="2:30" s="1653" customFormat="1" ht="12.95" hidden="1" customHeight="1">
      <c r="B102" s="1673"/>
      <c r="C102" s="1673"/>
      <c r="D102" s="1673"/>
      <c r="E102" s="1673"/>
      <c r="F102" s="1673"/>
      <c r="G102" s="1673"/>
      <c r="H102" s="1673"/>
      <c r="I102" s="1673"/>
      <c r="J102" s="1673"/>
      <c r="K102" s="1698">
        <f>B91</f>
        <v>2018</v>
      </c>
      <c r="L102" s="1699">
        <f>O91/12</f>
        <v>1013153.4166666666</v>
      </c>
      <c r="M102" s="1699">
        <f>O91/365</f>
        <v>33309.153424657532</v>
      </c>
      <c r="N102" s="1699">
        <f>MAX(C91:N91)</f>
        <v>1491158</v>
      </c>
      <c r="O102" s="1700">
        <f>MIN(C91:N91)</f>
        <v>731727</v>
      </c>
      <c r="P102" s="1643"/>
      <c r="R102" s="1657"/>
    </row>
    <row r="103" spans="2:30" s="1653" customFormat="1" ht="12.95" hidden="1" customHeight="1">
      <c r="B103" s="1673"/>
      <c r="C103" s="1673"/>
      <c r="D103" s="1673"/>
      <c r="E103" s="1673"/>
      <c r="F103" s="1673"/>
      <c r="G103" s="1673"/>
      <c r="H103" s="1673"/>
      <c r="I103" s="1673"/>
      <c r="J103" s="1673"/>
      <c r="K103" s="1698">
        <v>2019</v>
      </c>
      <c r="L103" s="1699">
        <f>O92/12</f>
        <v>1317395.9264971905</v>
      </c>
      <c r="M103" s="1699">
        <f>O92/365</f>
        <v>43311.646898537772</v>
      </c>
      <c r="N103" s="1699">
        <f>MAX(C92:N92)</f>
        <v>1647590</v>
      </c>
      <c r="O103" s="1700">
        <f>MIN(C92:N92)</f>
        <v>955201</v>
      </c>
      <c r="P103" s="1643"/>
      <c r="R103" s="1657"/>
    </row>
    <row r="104" spans="2:30" s="1653" customFormat="1" ht="12.75" hidden="1" customHeight="1">
      <c r="B104" s="1673"/>
      <c r="C104" s="1673"/>
      <c r="D104" s="1673"/>
      <c r="E104" s="1673"/>
      <c r="F104" s="1673"/>
      <c r="G104" s="1673"/>
      <c r="H104" s="1673"/>
      <c r="I104" s="1673"/>
      <c r="J104" s="1673"/>
      <c r="K104" s="1698">
        <f>B93</f>
        <v>2020</v>
      </c>
      <c r="L104" s="1699">
        <f>O93/12</f>
        <v>1145505.2379983414</v>
      </c>
      <c r="M104" s="1699">
        <f>O93/366</f>
        <v>37557.548786830863</v>
      </c>
      <c r="N104" s="1699">
        <f>MAX(C93:N93)</f>
        <v>1446681</v>
      </c>
      <c r="O104" s="1700">
        <f>MIN(C93:N93)</f>
        <v>960392.17166770541</v>
      </c>
      <c r="P104" s="1643"/>
      <c r="R104" s="1657"/>
    </row>
    <row r="105" spans="2:30" s="1653" customFormat="1" ht="12.75" customHeight="1">
      <c r="B105" s="1673"/>
      <c r="C105" s="1673"/>
      <c r="D105" s="1673"/>
      <c r="E105" s="1673"/>
      <c r="F105" s="1673"/>
      <c r="G105" s="1673"/>
      <c r="H105" s="1673"/>
      <c r="I105" s="1673"/>
      <c r="J105" s="1673"/>
      <c r="K105" s="1698">
        <v>2022</v>
      </c>
      <c r="L105" s="1699">
        <f>O94/12</f>
        <v>1181729.4166666667</v>
      </c>
      <c r="M105" s="1699">
        <f>O94/$AC$38</f>
        <v>38851.378082191783</v>
      </c>
      <c r="N105" s="1699">
        <f>MAX(C94:N94)</f>
        <v>1661259</v>
      </c>
      <c r="O105" s="1700">
        <f>MIN(C94:N94)</f>
        <v>934808</v>
      </c>
      <c r="P105" s="1643"/>
      <c r="R105" s="1657"/>
    </row>
    <row r="106" spans="2:30" s="1653" customFormat="1" ht="12.75" customHeight="1">
      <c r="B106" s="1673"/>
      <c r="C106" s="1673"/>
      <c r="D106" s="1673"/>
      <c r="E106" s="1673"/>
      <c r="F106" s="1673"/>
      <c r="G106" s="1673"/>
      <c r="H106" s="1673"/>
      <c r="I106" s="1673"/>
      <c r="J106" s="1673"/>
      <c r="K106" s="1698">
        <v>2023</v>
      </c>
      <c r="L106" s="1699">
        <f t="shared" ref="L106:L107" si="54">O95/12</f>
        <v>1181729.4166666667</v>
      </c>
      <c r="M106" s="1699">
        <f>O95/$AC$38</f>
        <v>38851.378082191783</v>
      </c>
      <c r="N106" s="1699">
        <f t="shared" ref="N106:N107" si="55">MAX(C95:N95)</f>
        <v>1710048</v>
      </c>
      <c r="O106" s="1700">
        <f t="shared" ref="O106:O107" si="56">MIN(C95:N95)</f>
        <v>865516</v>
      </c>
      <c r="P106" s="1643"/>
      <c r="R106" s="1657"/>
    </row>
    <row r="107" spans="2:30" s="1653" customFormat="1" ht="12.75" customHeight="1">
      <c r="B107" s="1673"/>
      <c r="C107" s="1673"/>
      <c r="D107" s="1673"/>
      <c r="E107" s="1673"/>
      <c r="F107" s="1673"/>
      <c r="G107" s="1673"/>
      <c r="H107" s="1673"/>
      <c r="I107" s="1673"/>
      <c r="J107" s="1673"/>
      <c r="K107" s="1698">
        <v>2024</v>
      </c>
      <c r="L107" s="1699">
        <f t="shared" si="54"/>
        <v>714224</v>
      </c>
      <c r="M107" s="1699">
        <f>O96/$AC$38</f>
        <v>23481.336986301369</v>
      </c>
      <c r="N107" s="1699">
        <f t="shared" si="55"/>
        <v>1502905</v>
      </c>
      <c r="O107" s="1700">
        <f t="shared" si="56"/>
        <v>989379</v>
      </c>
      <c r="P107" s="1643"/>
      <c r="R107" s="1657"/>
    </row>
    <row r="108" spans="2:30" s="1653" customFormat="1" ht="12.95" customHeight="1">
      <c r="B108" s="1673"/>
      <c r="C108" s="1673"/>
      <c r="D108" s="1673"/>
      <c r="E108" s="1673"/>
      <c r="F108" s="1673"/>
      <c r="G108" s="1673"/>
      <c r="H108" s="1673"/>
      <c r="I108" s="1673"/>
      <c r="J108" s="1673"/>
      <c r="K108" s="1667" t="s">
        <v>376</v>
      </c>
      <c r="L108" s="1699">
        <f>L106-L105</f>
        <v>0</v>
      </c>
      <c r="M108" s="1699">
        <f>M106-M105</f>
        <v>0</v>
      </c>
      <c r="N108" s="1699"/>
      <c r="O108" s="1700"/>
      <c r="P108" s="1643"/>
      <c r="R108" s="1657"/>
      <c r="S108" s="1657" t="s">
        <v>1132</v>
      </c>
    </row>
    <row r="109" spans="2:30" s="1653" customFormat="1" ht="12.75" customHeight="1">
      <c r="B109" s="1673"/>
      <c r="C109" s="1673"/>
      <c r="D109" s="1673"/>
      <c r="E109" s="1673"/>
      <c r="F109" s="1673"/>
      <c r="G109" s="1673"/>
      <c r="H109" s="1673"/>
      <c r="I109" s="1673"/>
      <c r="J109" s="1673"/>
      <c r="K109" s="1692" t="s">
        <v>166</v>
      </c>
      <c r="L109" s="1693">
        <f>L108/L105</f>
        <v>0</v>
      </c>
      <c r="M109" s="1693">
        <f>M108/M105</f>
        <v>0</v>
      </c>
      <c r="N109" s="1693"/>
      <c r="O109" s="1701"/>
      <c r="P109" s="1643"/>
      <c r="R109" s="1657"/>
      <c r="S109" s="1676" t="s">
        <v>1120</v>
      </c>
      <c r="T109" s="1676" t="s">
        <v>264</v>
      </c>
      <c r="U109" s="1676" t="s">
        <v>265</v>
      </c>
      <c r="V109" s="1676" t="s">
        <v>368</v>
      </c>
      <c r="W109" s="1676" t="s">
        <v>369</v>
      </c>
      <c r="X109" s="1676" t="s">
        <v>370</v>
      </c>
      <c r="Y109" s="1676" t="s">
        <v>371</v>
      </c>
      <c r="Z109" s="1676" t="s">
        <v>260</v>
      </c>
      <c r="AA109" s="1676" t="s">
        <v>261</v>
      </c>
      <c r="AB109" s="1676" t="s">
        <v>372</v>
      </c>
      <c r="AC109" s="1676" t="s">
        <v>262</v>
      </c>
      <c r="AD109" s="1676" t="s">
        <v>263</v>
      </c>
    </row>
    <row r="110" spans="2:30" s="1653" customFormat="1" ht="12.95" customHeight="1">
      <c r="B110" s="1673"/>
      <c r="C110" s="1673"/>
      <c r="D110" s="1673"/>
      <c r="E110" s="1673"/>
      <c r="F110" s="1673"/>
      <c r="G110" s="1673"/>
      <c r="H110" s="1673"/>
      <c r="I110" s="1673"/>
      <c r="J110" s="1673"/>
      <c r="K110" s="1675"/>
      <c r="P110" s="1643"/>
      <c r="R110" s="1702" t="s">
        <v>1133</v>
      </c>
      <c r="S110" s="1703">
        <f>C82/C79</f>
        <v>0.90572390572390571</v>
      </c>
      <c r="T110" s="1703">
        <f>D82/D79</f>
        <v>1.1397379912663756</v>
      </c>
      <c r="U110" s="1703">
        <f t="shared" ref="U110:AD110" si="57">E82/E79</f>
        <v>1.0476190476190477</v>
      </c>
      <c r="V110" s="1703">
        <f t="shared" si="57"/>
        <v>1.1152647975077881</v>
      </c>
      <c r="W110" s="1703">
        <f t="shared" si="57"/>
        <v>0.9642857142857143</v>
      </c>
      <c r="X110" s="1703">
        <f t="shared" si="57"/>
        <v>1.0249376558603491</v>
      </c>
      <c r="Y110" s="1703">
        <f t="shared" si="57"/>
        <v>1.26</v>
      </c>
      <c r="Z110" s="1703">
        <f t="shared" si="57"/>
        <v>0</v>
      </c>
      <c r="AA110" s="1703">
        <f t="shared" si="57"/>
        <v>0</v>
      </c>
      <c r="AB110" s="1703">
        <f t="shared" si="57"/>
        <v>0</v>
      </c>
      <c r="AC110" s="1703">
        <f t="shared" si="57"/>
        <v>0</v>
      </c>
      <c r="AD110" s="1703">
        <f t="shared" si="57"/>
        <v>0</v>
      </c>
    </row>
    <row r="111" spans="2:30" s="1653" customFormat="1" ht="12.95" customHeight="1">
      <c r="B111" s="1673"/>
      <c r="C111" s="1673"/>
      <c r="D111" s="1673"/>
      <c r="E111" s="1673"/>
      <c r="F111" s="1673"/>
      <c r="G111" s="1673"/>
      <c r="H111" s="1673"/>
      <c r="I111" s="1673"/>
      <c r="J111" s="1673"/>
      <c r="K111" s="2921" t="s">
        <v>2157</v>
      </c>
      <c r="L111" s="2922"/>
      <c r="M111" s="2922"/>
      <c r="N111" s="2922"/>
      <c r="O111" s="2946"/>
      <c r="P111" s="1704"/>
      <c r="Q111" s="1721"/>
      <c r="R111" s="1702" t="s">
        <v>1134</v>
      </c>
      <c r="S111" s="1703">
        <f>C96/C95</f>
        <v>0.90340816427826898</v>
      </c>
      <c r="T111" s="1703">
        <f>D96/D95</f>
        <v>1.1431088506740488</v>
      </c>
      <c r="U111" s="1703">
        <f t="shared" ref="U111:AD111" si="58">E96/E95</f>
        <v>1.0367268152597984</v>
      </c>
      <c r="V111" s="1703">
        <f t="shared" si="58"/>
        <v>1.1084292748591873</v>
      </c>
      <c r="W111" s="1703">
        <f t="shared" si="58"/>
        <v>0.96190067554659142</v>
      </c>
      <c r="X111" s="1703">
        <f t="shared" si="58"/>
        <v>1.0235892330121252</v>
      </c>
      <c r="Y111" s="1703">
        <f t="shared" si="58"/>
        <v>1.0743515417525975</v>
      </c>
      <c r="Z111" s="1703">
        <f t="shared" si="58"/>
        <v>0</v>
      </c>
      <c r="AA111" s="1703">
        <f t="shared" si="58"/>
        <v>0</v>
      </c>
      <c r="AB111" s="1703">
        <f t="shared" si="58"/>
        <v>0</v>
      </c>
      <c r="AC111" s="1703">
        <f t="shared" si="58"/>
        <v>0</v>
      </c>
      <c r="AD111" s="1703">
        <f t="shared" si="58"/>
        <v>0</v>
      </c>
    </row>
    <row r="112" spans="2:30" s="1653" customFormat="1" ht="12.95" customHeight="1">
      <c r="B112" s="1673"/>
      <c r="C112" s="1673"/>
      <c r="D112" s="1673"/>
      <c r="E112" s="1673"/>
      <c r="F112" s="1673"/>
      <c r="G112" s="1673"/>
      <c r="H112" s="1673"/>
      <c r="I112" s="1673"/>
      <c r="J112" s="1673"/>
      <c r="K112" s="2924"/>
      <c r="L112" s="2925"/>
      <c r="M112" s="2925"/>
      <c r="N112" s="2925"/>
      <c r="O112" s="2947"/>
      <c r="P112" s="1704"/>
      <c r="Q112" s="1703"/>
      <c r="R112" s="1657"/>
    </row>
    <row r="113" spans="1:18" s="1653" customFormat="1" ht="12.95" customHeight="1">
      <c r="B113" s="1673"/>
      <c r="C113" s="1673"/>
      <c r="D113" s="1673"/>
      <c r="E113" s="1673"/>
      <c r="F113" s="1673"/>
      <c r="G113" s="1673"/>
      <c r="H113" s="1673"/>
      <c r="I113" s="1673"/>
      <c r="J113" s="1673"/>
      <c r="K113" s="2924"/>
      <c r="L113" s="2925"/>
      <c r="M113" s="2925"/>
      <c r="N113" s="2925"/>
      <c r="O113" s="2947"/>
      <c r="P113" s="1704"/>
      <c r="R113" s="1657"/>
    </row>
    <row r="114" spans="1:18" s="1653" customFormat="1" ht="12.95" customHeight="1">
      <c r="B114" s="1673"/>
      <c r="C114" s="1673"/>
      <c r="D114" s="1673"/>
      <c r="E114" s="1673"/>
      <c r="F114" s="1673"/>
      <c r="G114" s="1673"/>
      <c r="H114" s="1673"/>
      <c r="I114" s="1673"/>
      <c r="J114" s="1673"/>
      <c r="K114" s="2924"/>
      <c r="L114" s="2925"/>
      <c r="M114" s="2925"/>
      <c r="N114" s="2925"/>
      <c r="O114" s="2947"/>
      <c r="P114" s="1704"/>
      <c r="R114" s="1657"/>
    </row>
    <row r="115" spans="1:18" s="1653" customFormat="1" ht="12.95" customHeight="1">
      <c r="B115" s="1673"/>
      <c r="C115" s="1673"/>
      <c r="D115" s="1673"/>
      <c r="E115" s="1673"/>
      <c r="F115" s="1673"/>
      <c r="G115" s="1673"/>
      <c r="H115" s="1673"/>
      <c r="I115" s="1673"/>
      <c r="J115" s="1673"/>
      <c r="K115" s="2927"/>
      <c r="L115" s="2928"/>
      <c r="M115" s="2928"/>
      <c r="N115" s="2928"/>
      <c r="O115" s="2948"/>
      <c r="P115" s="1704"/>
      <c r="R115" s="1657"/>
    </row>
    <row r="116" spans="1:18" s="1653" customFormat="1" ht="12.95" customHeight="1" thickBot="1">
      <c r="A116" s="1705"/>
      <c r="B116" s="1705"/>
      <c r="C116" s="1705"/>
      <c r="D116" s="1705"/>
      <c r="E116" s="1705"/>
      <c r="F116" s="1705"/>
      <c r="G116" s="1705"/>
      <c r="H116" s="1705"/>
      <c r="I116" s="1705"/>
      <c r="J116" s="1705"/>
      <c r="K116" s="1705"/>
      <c r="L116" s="1705"/>
      <c r="M116" s="1705"/>
      <c r="N116" s="1705"/>
      <c r="O116" s="1705"/>
      <c r="P116" s="1643"/>
      <c r="R116" s="1657"/>
    </row>
    <row r="117" spans="1:18" s="1653" customFormat="1" ht="12.95" customHeight="1">
      <c r="P117" s="1643"/>
      <c r="R117" s="1657"/>
    </row>
    <row r="118" spans="1:18" s="1653" customFormat="1" ht="18" customHeight="1">
      <c r="B118" s="2935" t="s">
        <v>1135</v>
      </c>
      <c r="C118" s="2935"/>
      <c r="D118" s="2935"/>
      <c r="E118" s="1673"/>
      <c r="F118" s="1673"/>
      <c r="G118" s="1673"/>
      <c r="H118" s="1673"/>
      <c r="I118" s="1673"/>
      <c r="J118" s="1673"/>
      <c r="K118" s="1675"/>
      <c r="L118" s="1675"/>
      <c r="M118" s="2945" t="s">
        <v>1136</v>
      </c>
      <c r="N118" s="2945"/>
      <c r="O118" s="2945"/>
      <c r="P118" s="1643"/>
      <c r="R118" s="1657"/>
    </row>
    <row r="119" spans="1:18" s="1651" customFormat="1" ht="15" customHeight="1">
      <c r="B119" s="2139" t="s">
        <v>1125</v>
      </c>
      <c r="C119" s="2140" t="s">
        <v>1115</v>
      </c>
      <c r="D119" s="2140" t="s">
        <v>264</v>
      </c>
      <c r="E119" s="2140" t="s">
        <v>265</v>
      </c>
      <c r="F119" s="2140" t="s">
        <v>368</v>
      </c>
      <c r="G119" s="2140" t="s">
        <v>369</v>
      </c>
      <c r="H119" s="2140" t="s">
        <v>370</v>
      </c>
      <c r="I119" s="2140" t="s">
        <v>371</v>
      </c>
      <c r="J119" s="2140" t="s">
        <v>260</v>
      </c>
      <c r="K119" s="2140" t="s">
        <v>261</v>
      </c>
      <c r="L119" s="2140" t="s">
        <v>372</v>
      </c>
      <c r="M119" s="2140" t="s">
        <v>262</v>
      </c>
      <c r="N119" s="2140" t="s">
        <v>263</v>
      </c>
      <c r="O119" s="2141" t="s">
        <v>1127</v>
      </c>
      <c r="P119" s="1643"/>
      <c r="R119" s="1652"/>
    </row>
    <row r="120" spans="1:18" s="1653" customFormat="1" ht="15" hidden="1" customHeight="1">
      <c r="B120" s="1654">
        <v>2017</v>
      </c>
      <c r="C120" s="1655">
        <v>34024.56518067373</v>
      </c>
      <c r="D120" s="1655">
        <v>35565</v>
      </c>
      <c r="E120" s="1655">
        <v>15105</v>
      </c>
      <c r="F120" s="1655">
        <v>0</v>
      </c>
      <c r="G120" s="1655">
        <v>0</v>
      </c>
      <c r="H120" s="1655">
        <v>0</v>
      </c>
      <c r="I120" s="1655">
        <v>0</v>
      </c>
      <c r="J120" s="1655">
        <v>137</v>
      </c>
      <c r="K120" s="1655">
        <v>126</v>
      </c>
      <c r="L120" s="1655">
        <v>52</v>
      </c>
      <c r="M120" s="1655">
        <v>16687</v>
      </c>
      <c r="N120" s="1655">
        <v>48300</v>
      </c>
      <c r="O120" s="1656">
        <f>SUM(C120:N120)</f>
        <v>149996.56518067373</v>
      </c>
      <c r="P120" s="1643"/>
      <c r="R120" s="1657"/>
    </row>
    <row r="121" spans="1:18" s="1658" customFormat="1" ht="15" hidden="1" customHeight="1">
      <c r="B121" s="1659" t="s">
        <v>374</v>
      </c>
      <c r="C121" s="1660">
        <f>C120/31</f>
        <v>1097.5666187314107</v>
      </c>
      <c r="D121" s="1660">
        <f>D120/28</f>
        <v>1270.1785714285713</v>
      </c>
      <c r="E121" s="1660">
        <f>E120/31</f>
        <v>487.25806451612902</v>
      </c>
      <c r="F121" s="1660">
        <f>F120/30</f>
        <v>0</v>
      </c>
      <c r="G121" s="1660">
        <f>G120/31</f>
        <v>0</v>
      </c>
      <c r="H121" s="1660">
        <f>H120/30</f>
        <v>0</v>
      </c>
      <c r="I121" s="1660">
        <f>I120/31</f>
        <v>0</v>
      </c>
      <c r="J121" s="1660">
        <f>J120/31</f>
        <v>4.419354838709677</v>
      </c>
      <c r="K121" s="1660">
        <f>K120/30</f>
        <v>4.2</v>
      </c>
      <c r="L121" s="1660">
        <f>L120/31</f>
        <v>1.6774193548387097</v>
      </c>
      <c r="M121" s="1660">
        <f>M120/30</f>
        <v>556.23333333333335</v>
      </c>
      <c r="N121" s="1660">
        <f>N120/31</f>
        <v>1558.0645161290322</v>
      </c>
      <c r="O121" s="1661">
        <f>O120/365</f>
        <v>410.94949364568146</v>
      </c>
      <c r="P121" s="1643"/>
      <c r="R121" s="1657"/>
    </row>
    <row r="122" spans="1:18" s="1658" customFormat="1" ht="15" hidden="1" customHeight="1">
      <c r="B122" s="1662" t="s">
        <v>375</v>
      </c>
      <c r="C122" s="1663">
        <f>C120/$N$3</f>
        <v>1.2202961306766007</v>
      </c>
      <c r="D122" s="1663">
        <f t="shared" ref="D122:M122" si="59">D120/$N$3</f>
        <v>1.2755440563914924</v>
      </c>
      <c r="E122" s="1663">
        <f t="shared" si="59"/>
        <v>0.54174308932359039</v>
      </c>
      <c r="F122" s="1663">
        <f t="shared" si="59"/>
        <v>0</v>
      </c>
      <c r="G122" s="1663">
        <f t="shared" si="59"/>
        <v>0</v>
      </c>
      <c r="H122" s="1663">
        <f t="shared" si="59"/>
        <v>0</v>
      </c>
      <c r="I122" s="1663">
        <f t="shared" si="59"/>
        <v>0</v>
      </c>
      <c r="J122" s="1663">
        <f t="shared" si="59"/>
        <v>4.913525537062687E-3</v>
      </c>
      <c r="K122" s="1663">
        <f t="shared" si="59"/>
        <v>4.5190088881014497E-3</v>
      </c>
      <c r="L122" s="1663">
        <f t="shared" si="59"/>
        <v>1.8649877950894871E-3</v>
      </c>
      <c r="M122" s="1663">
        <f t="shared" si="59"/>
        <v>0.59848175647419755</v>
      </c>
      <c r="N122" s="1663">
        <f>N120/$N$3</f>
        <v>1.7322867404388889</v>
      </c>
      <c r="O122" s="1664">
        <f>O120/N3</f>
        <v>5.3796492955250237</v>
      </c>
      <c r="P122" s="1643"/>
      <c r="R122" s="1657"/>
    </row>
    <row r="123" spans="1:18" s="1653" customFormat="1" ht="15" hidden="1" customHeight="1">
      <c r="B123" s="1654">
        <v>2018</v>
      </c>
      <c r="C123" s="1655">
        <v>37544</v>
      </c>
      <c r="D123" s="1655">
        <v>37111</v>
      </c>
      <c r="E123" s="1655">
        <v>15709</v>
      </c>
      <c r="F123" s="1655">
        <v>0</v>
      </c>
      <c r="G123" s="1655">
        <v>0</v>
      </c>
      <c r="H123" s="1655">
        <v>0</v>
      </c>
      <c r="I123" s="1655">
        <v>0</v>
      </c>
      <c r="J123" s="1655">
        <v>0</v>
      </c>
      <c r="K123" s="1655">
        <v>0</v>
      </c>
      <c r="L123" s="1655">
        <v>0</v>
      </c>
      <c r="M123" s="1655">
        <v>13078</v>
      </c>
      <c r="N123" s="1655">
        <v>51978</v>
      </c>
      <c r="O123" s="1656">
        <f>SUM(C123:N123)</f>
        <v>155420</v>
      </c>
      <c r="P123" s="1643"/>
      <c r="R123" s="1657"/>
    </row>
    <row r="124" spans="1:18" s="1658" customFormat="1" ht="15" hidden="1" customHeight="1">
      <c r="B124" s="1659" t="s">
        <v>374</v>
      </c>
      <c r="C124" s="1660">
        <f>C123/31</f>
        <v>1211.0967741935483</v>
      </c>
      <c r="D124" s="1660">
        <f>D123/28</f>
        <v>1325.3928571428571</v>
      </c>
      <c r="E124" s="1660">
        <f>E123/31</f>
        <v>506.74193548387098</v>
      </c>
      <c r="F124" s="1660">
        <f>F123/30</f>
        <v>0</v>
      </c>
      <c r="G124" s="1660">
        <f>G123/31</f>
        <v>0</v>
      </c>
      <c r="H124" s="1660">
        <f>H123/30</f>
        <v>0</v>
      </c>
      <c r="I124" s="1660">
        <f>I123/31</f>
        <v>0</v>
      </c>
      <c r="J124" s="1660">
        <f>J123/31</f>
        <v>0</v>
      </c>
      <c r="K124" s="1660">
        <f>K123/30</f>
        <v>0</v>
      </c>
      <c r="L124" s="1660">
        <f>L123/31</f>
        <v>0</v>
      </c>
      <c r="M124" s="1660">
        <f>M123/30</f>
        <v>435.93333333333334</v>
      </c>
      <c r="N124" s="1660">
        <f>N123/31</f>
        <v>1676.7096774193549</v>
      </c>
      <c r="O124" s="1661">
        <f>O123/365</f>
        <v>425.8082191780822</v>
      </c>
      <c r="P124" s="1643"/>
      <c r="R124" s="1657"/>
    </row>
    <row r="125" spans="1:18" s="1658" customFormat="1" ht="21" hidden="1" customHeight="1">
      <c r="B125" s="1662" t="s">
        <v>375</v>
      </c>
      <c r="C125" s="1663">
        <f>C123/$N$3</f>
        <v>1.3465211880546097</v>
      </c>
      <c r="D125" s="1663">
        <f>D123/$N$3</f>
        <v>1.3309915781454991</v>
      </c>
      <c r="E125" s="1663">
        <f t="shared" ref="E125:K125" si="60">E123/$N$3</f>
        <v>0.5634056398665529</v>
      </c>
      <c r="F125" s="1663">
        <f t="shared" si="60"/>
        <v>0</v>
      </c>
      <c r="G125" s="1663">
        <f t="shared" si="60"/>
        <v>0</v>
      </c>
      <c r="H125" s="1663">
        <f t="shared" si="60"/>
        <v>0</v>
      </c>
      <c r="I125" s="1663">
        <f t="shared" si="60"/>
        <v>0</v>
      </c>
      <c r="J125" s="1663">
        <f t="shared" si="60"/>
        <v>0</v>
      </c>
      <c r="K125" s="1663">
        <f t="shared" si="60"/>
        <v>0</v>
      </c>
      <c r="L125" s="1663">
        <f>L123/$N$3</f>
        <v>0</v>
      </c>
      <c r="M125" s="1663">
        <f>M123/$N$3</f>
        <v>0.46904443046500599</v>
      </c>
      <c r="N125" s="1663">
        <f>N123/$N$3</f>
        <v>1.8641987617915645</v>
      </c>
      <c r="O125" s="1664">
        <f>O123/N3</f>
        <v>5.574161598323232</v>
      </c>
      <c r="P125" s="1643"/>
      <c r="R125" s="1657"/>
    </row>
    <row r="126" spans="1:18" s="1653" customFormat="1" ht="15" hidden="1" customHeight="1">
      <c r="B126" s="1654">
        <v>2019</v>
      </c>
      <c r="C126" s="1655">
        <v>32436</v>
      </c>
      <c r="D126" s="1655">
        <v>25494</v>
      </c>
      <c r="E126" s="1655">
        <v>12590</v>
      </c>
      <c r="F126" s="1655">
        <v>3121</v>
      </c>
      <c r="G126" s="1655">
        <v>231</v>
      </c>
      <c r="H126" s="1655">
        <v>163</v>
      </c>
      <c r="I126" s="1655">
        <v>177</v>
      </c>
      <c r="J126" s="1655">
        <v>131</v>
      </c>
      <c r="K126" s="1655">
        <v>176</v>
      </c>
      <c r="L126" s="1655">
        <v>174</v>
      </c>
      <c r="M126" s="1655">
        <v>8455</v>
      </c>
      <c r="N126" s="1655">
        <v>24637.748957191467</v>
      </c>
      <c r="O126" s="1656">
        <f>SUM(C126:N126)</f>
        <v>107785.74895719146</v>
      </c>
      <c r="P126" s="1643"/>
      <c r="Q126" s="1722"/>
      <c r="R126" s="1657"/>
    </row>
    <row r="127" spans="1:18" s="1658" customFormat="1" ht="15" hidden="1" customHeight="1">
      <c r="B127" s="1659" t="s">
        <v>374</v>
      </c>
      <c r="C127" s="1660">
        <f>C126/31</f>
        <v>1046.3225806451612</v>
      </c>
      <c r="D127" s="1660">
        <f>D126/28</f>
        <v>910.5</v>
      </c>
      <c r="E127" s="1660">
        <f>E126/31</f>
        <v>406.12903225806451</v>
      </c>
      <c r="F127" s="1660">
        <f>F126/30</f>
        <v>104.03333333333333</v>
      </c>
      <c r="G127" s="1660">
        <f>G126/31</f>
        <v>7.4516129032258061</v>
      </c>
      <c r="H127" s="1660">
        <f>H126/30</f>
        <v>5.4333333333333336</v>
      </c>
      <c r="I127" s="1660">
        <f>I126/31</f>
        <v>5.709677419354839</v>
      </c>
      <c r="J127" s="1660">
        <f>J126/31</f>
        <v>4.225806451612903</v>
      </c>
      <c r="K127" s="1660">
        <f>K126/30</f>
        <v>5.8666666666666663</v>
      </c>
      <c r="L127" s="1660">
        <f>L126/31</f>
        <v>5.612903225806452</v>
      </c>
      <c r="M127" s="1660">
        <f>M126/30</f>
        <v>281.83333333333331</v>
      </c>
      <c r="N127" s="1660">
        <f>N126/31</f>
        <v>794.76609539327308</v>
      </c>
      <c r="O127" s="1661">
        <f>O126/365</f>
        <v>295.30342180052457</v>
      </c>
      <c r="P127" s="1643"/>
      <c r="R127" s="1657"/>
    </row>
    <row r="128" spans="1:18" s="1658" customFormat="1" ht="15" hidden="1" customHeight="1">
      <c r="B128" s="1662" t="s">
        <v>375</v>
      </c>
      <c r="C128" s="1663">
        <f t="shared" ref="C128:N128" si="61">C126/$N$3</f>
        <v>1.163322002336973</v>
      </c>
      <c r="D128" s="1663">
        <f t="shared" si="61"/>
        <v>0.91434613169252654</v>
      </c>
      <c r="E128" s="1663">
        <f t="shared" si="61"/>
        <v>0.45154223731108928</v>
      </c>
      <c r="F128" s="1663">
        <f t="shared" si="61"/>
        <v>0.11193513285527479</v>
      </c>
      <c r="G128" s="1663">
        <f t="shared" si="61"/>
        <v>8.2848496281859897E-3</v>
      </c>
      <c r="H128" s="1663">
        <f t="shared" si="61"/>
        <v>5.8460194346074308E-3</v>
      </c>
      <c r="I128" s="1663">
        <f t="shared" si="61"/>
        <v>6.3481315332853698E-3</v>
      </c>
      <c r="J128" s="1663">
        <f t="shared" si="61"/>
        <v>4.6983346376292846E-3</v>
      </c>
      <c r="K128" s="1663">
        <f t="shared" si="61"/>
        <v>6.3122663833798023E-3</v>
      </c>
      <c r="L128" s="1663">
        <f t="shared" si="61"/>
        <v>6.2405360835686681E-3</v>
      </c>
      <c r="M128" s="1663">
        <f t="shared" si="61"/>
        <v>0.30323984245156949</v>
      </c>
      <c r="N128" s="1663">
        <f t="shared" si="61"/>
        <v>0.88363655968540045</v>
      </c>
      <c r="O128" s="1664">
        <f>O126/N3</f>
        <v>3.8657520440334903</v>
      </c>
      <c r="P128" s="1643"/>
      <c r="R128" s="1657"/>
    </row>
    <row r="129" spans="2:20" s="1658" customFormat="1" ht="15" hidden="1" customHeight="1">
      <c r="B129" s="1654">
        <v>2020</v>
      </c>
      <c r="C129" s="1655">
        <v>26388.381760460117</v>
      </c>
      <c r="D129" s="1655">
        <v>21999.908393450132</v>
      </c>
      <c r="E129" s="1655">
        <v>12407.242958000001</v>
      </c>
      <c r="F129" s="1655">
        <v>288.57847048096653</v>
      </c>
      <c r="G129" s="1655">
        <v>214.92933240155742</v>
      </c>
      <c r="H129" s="1655">
        <v>176.68472619199977</v>
      </c>
      <c r="I129" s="1655">
        <v>202.67689493026913</v>
      </c>
      <c r="J129" s="1655">
        <v>190.64873517042244</v>
      </c>
      <c r="K129" s="1655">
        <v>205.16198482673775</v>
      </c>
      <c r="L129" s="1655">
        <v>193.17441924626164</v>
      </c>
      <c r="M129" s="1655">
        <v>7946.513432615202</v>
      </c>
      <c r="N129" s="1655">
        <v>28972.044373459255</v>
      </c>
      <c r="O129" s="1656">
        <f>SUM(C129:N129)</f>
        <v>99185.94548123292</v>
      </c>
      <c r="P129" s="1643"/>
      <c r="R129" s="1657"/>
    </row>
    <row r="130" spans="2:20" s="1658" customFormat="1" ht="15" hidden="1" customHeight="1">
      <c r="B130" s="1659" t="s">
        <v>374</v>
      </c>
      <c r="C130" s="1660">
        <f>C129/31</f>
        <v>851.23812130516512</v>
      </c>
      <c r="D130" s="1660">
        <f>D129/29</f>
        <v>758.61753080862525</v>
      </c>
      <c r="E130" s="1660">
        <f>E129/31</f>
        <v>400.23364380645165</v>
      </c>
      <c r="F130" s="1660">
        <f>F129/31</f>
        <v>9.3089829187408561</v>
      </c>
      <c r="G130" s="1660">
        <f>G129/31</f>
        <v>6.9332042710179813</v>
      </c>
      <c r="H130" s="1660">
        <f>H129/30</f>
        <v>5.8894908730666593</v>
      </c>
      <c r="I130" s="1660">
        <f>I129/31</f>
        <v>6.5379643525893263</v>
      </c>
      <c r="J130" s="1660">
        <f>J129/31</f>
        <v>6.1499591990458855</v>
      </c>
      <c r="K130" s="1660">
        <f>K129/30</f>
        <v>6.8387328275579247</v>
      </c>
      <c r="L130" s="1660">
        <f>L129/31</f>
        <v>6.231432878911666</v>
      </c>
      <c r="M130" s="1660">
        <f>M129/30</f>
        <v>264.88378108717342</v>
      </c>
      <c r="N130" s="1660">
        <f>N129/31</f>
        <v>934.58207656320178</v>
      </c>
      <c r="O130" s="1661">
        <f>O129/366</f>
        <v>270.99985104161999</v>
      </c>
      <c r="P130" s="1643"/>
      <c r="R130" s="1657"/>
    </row>
    <row r="131" spans="2:20" s="1658" customFormat="1" ht="15" hidden="1" customHeight="1">
      <c r="B131" s="1662" t="s">
        <v>375</v>
      </c>
      <c r="C131" s="1663">
        <f t="shared" ref="C131:N131" si="62">C129/$N$3</f>
        <v>0.94642326760423368</v>
      </c>
      <c r="D131" s="1663">
        <f t="shared" si="62"/>
        <v>0.78903001243983195</v>
      </c>
      <c r="E131" s="1663">
        <f t="shared" si="62"/>
        <v>0.4449876286034613</v>
      </c>
      <c r="F131" s="1663">
        <f t="shared" si="62"/>
        <v>1.0349910103319123E-2</v>
      </c>
      <c r="G131" s="1663">
        <f>G129/$N$3</f>
        <v>7.7084727256853079E-3</v>
      </c>
      <c r="H131" s="1663">
        <f t="shared" si="62"/>
        <v>6.3368241909001425E-3</v>
      </c>
      <c r="I131" s="1663">
        <f>I129/$N$3</f>
        <v>7.2690372190689669E-3</v>
      </c>
      <c r="J131" s="1663">
        <f t="shared" si="62"/>
        <v>6.8376454661939557E-3</v>
      </c>
      <c r="K131" s="1663">
        <f t="shared" si="62"/>
        <v>7.3581653407346235E-3</v>
      </c>
      <c r="L131" s="1663">
        <f t="shared" si="62"/>
        <v>6.9282295041880318E-3</v>
      </c>
      <c r="M131" s="1663">
        <f t="shared" si="62"/>
        <v>0.28500289548734647</v>
      </c>
      <c r="N131" s="1663">
        <f t="shared" si="62"/>
        <v>1.0390867145248568</v>
      </c>
      <c r="O131" s="1664">
        <f>O129/N3</f>
        <v>3.5573188032098204</v>
      </c>
      <c r="P131" s="1643"/>
      <c r="R131" s="1657"/>
    </row>
    <row r="132" spans="2:20" s="1658" customFormat="1" ht="15" customHeight="1">
      <c r="B132" s="1654">
        <v>2022</v>
      </c>
      <c r="C132" s="1655">
        <v>29863.665866045729</v>
      </c>
      <c r="D132" s="1655">
        <v>30478.51447754931</v>
      </c>
      <c r="E132" s="1655">
        <v>10924.721735134983</v>
      </c>
      <c r="F132" s="1655">
        <v>244.49480209150789</v>
      </c>
      <c r="G132" s="1655">
        <v>203.39745916515426</v>
      </c>
      <c r="H132" s="1655">
        <v>189.97830980992816</v>
      </c>
      <c r="I132" s="1655">
        <v>168.54486032944087</v>
      </c>
      <c r="J132" s="1655">
        <v>202.87019955612575</v>
      </c>
      <c r="K132" s="1655">
        <v>122.99291881014031</v>
      </c>
      <c r="L132" s="1655">
        <v>280.50575765506409</v>
      </c>
      <c r="M132" s="1655">
        <v>3380.8948882379332</v>
      </c>
      <c r="N132" s="1655">
        <v>32067.975432503696</v>
      </c>
      <c r="O132" s="1656">
        <f>SUM(C132:N132)</f>
        <v>108128.55670688899</v>
      </c>
      <c r="P132" s="1643"/>
      <c r="R132" s="1657"/>
    </row>
    <row r="133" spans="2:20" s="1658" customFormat="1" ht="15" customHeight="1">
      <c r="B133" s="1659" t="s">
        <v>374</v>
      </c>
      <c r="C133" s="1660">
        <v>963.34406019502353</v>
      </c>
      <c r="D133" s="1660">
        <v>1088.5183741981896</v>
      </c>
      <c r="E133" s="1660">
        <v>352.41037855274141</v>
      </c>
      <c r="F133" s="1660">
        <v>8.1498267363835968</v>
      </c>
      <c r="G133" s="1660">
        <v>6.5612083601662663</v>
      </c>
      <c r="H133" s="1660">
        <v>6.3326103269976057</v>
      </c>
      <c r="I133" s="1660">
        <v>5.4369309783690598</v>
      </c>
      <c r="J133" s="1660">
        <v>6.5441999856814759</v>
      </c>
      <c r="K133" s="1660">
        <v>4.0997639603380103</v>
      </c>
      <c r="L133" s="1660">
        <v>9.0485728275827118</v>
      </c>
      <c r="M133" s="1660">
        <v>112.69649627459778</v>
      </c>
      <c r="N133" s="1660">
        <v>1034.450820403345</v>
      </c>
      <c r="O133" s="1661">
        <f>O132/Y38</f>
        <v>444.97348439048966</v>
      </c>
      <c r="P133" s="1643"/>
      <c r="R133" s="1657"/>
    </row>
    <row r="134" spans="2:20" s="1658" customFormat="1" ht="15" customHeight="1">
      <c r="B134" s="1662" t="s">
        <v>375</v>
      </c>
      <c r="C134" s="1663">
        <v>1.0710648530155</v>
      </c>
      <c r="D134" s="1663">
        <v>1.0931164906363018</v>
      </c>
      <c r="E134" s="1663">
        <v>0.39181678270722281</v>
      </c>
      <c r="F134" s="1663">
        <v>8.7688427281438809E-3</v>
      </c>
      <c r="G134" s="1663">
        <v>7.294880363369712E-3</v>
      </c>
      <c r="H134" s="1663">
        <v>6.8136005601393346E-3</v>
      </c>
      <c r="I134" s="1663">
        <v>6.0448866815282594E-3</v>
      </c>
      <c r="J134" s="1663">
        <v>7.2759701184527542E-3</v>
      </c>
      <c r="K134" s="1663">
        <v>4.4111594704489207E-3</v>
      </c>
      <c r="L134" s="1663">
        <v>1.0060381047673537E-2</v>
      </c>
      <c r="M134" s="1663">
        <v>0.12125630198161887</v>
      </c>
      <c r="N134" s="1663">
        <v>1.1501227460547867</v>
      </c>
      <c r="O134" s="1664">
        <f t="shared" ref="O134" si="63">O132/$N$3</f>
        <v>3.8780468953651823</v>
      </c>
      <c r="P134" s="1643"/>
      <c r="Q134" s="1723"/>
      <c r="R134" s="1657"/>
    </row>
    <row r="135" spans="2:20" s="1658" customFormat="1" ht="15" customHeight="1">
      <c r="B135" s="1654">
        <v>2023</v>
      </c>
      <c r="C135" s="1655">
        <v>31237.821746086396</v>
      </c>
      <c r="D135" s="1655">
        <v>20325.092672384311</v>
      </c>
      <c r="E135" s="1655">
        <v>7375.9530396538266</v>
      </c>
      <c r="F135" s="1655">
        <v>185.75702016790504</v>
      </c>
      <c r="G135" s="1655">
        <v>221.0983660098376</v>
      </c>
      <c r="H135" s="1655">
        <f>H151/1139.93</f>
        <v>4073.339591027519</v>
      </c>
      <c r="I135" s="1655">
        <v>152.54672784351607</v>
      </c>
      <c r="J135" s="1655">
        <v>112.79435492106285</v>
      </c>
      <c r="K135" s="1655">
        <v>83.466631029236396</v>
      </c>
      <c r="L135" s="1655">
        <v>145.34883720930233</v>
      </c>
      <c r="M135" s="1655">
        <v>11116.836082994321</v>
      </c>
      <c r="N135" s="1655">
        <v>22540.825925737798</v>
      </c>
      <c r="O135" s="1656">
        <v>108128.55670688899</v>
      </c>
      <c r="P135" s="1643"/>
      <c r="Q135" s="1723"/>
      <c r="R135" s="1721"/>
    </row>
    <row r="136" spans="2:20" s="1658" customFormat="1" ht="15" customHeight="1">
      <c r="B136" s="1659" t="s">
        <v>374</v>
      </c>
      <c r="C136" s="1660">
        <v>1007.6716692285934</v>
      </c>
      <c r="D136" s="1660">
        <v>725.89616687086823</v>
      </c>
      <c r="E136" s="1660">
        <v>237.93396902109117</v>
      </c>
      <c r="F136" s="1660">
        <v>6.1919006722635013</v>
      </c>
      <c r="G136" s="1660">
        <v>7.132205355156052</v>
      </c>
      <c r="H136" s="1660">
        <v>5.4826990948035519</v>
      </c>
      <c r="I136" s="1660">
        <v>4.9208621885005179</v>
      </c>
      <c r="J136" s="1660">
        <v>3.6385275780988016</v>
      </c>
      <c r="K136" s="1660">
        <v>2.7822210343078799</v>
      </c>
      <c r="L136" s="1660">
        <v>4.6886721680420109</v>
      </c>
      <c r="M136" s="1660">
        <v>370.56120276647738</v>
      </c>
      <c r="N136" s="1660">
        <v>727.12341695928376</v>
      </c>
      <c r="O136" s="1661">
        <v>296.24262111476435</v>
      </c>
      <c r="P136" s="1643"/>
      <c r="R136" s="1657"/>
    </row>
    <row r="137" spans="2:20" s="1658" customFormat="1" ht="15" customHeight="1">
      <c r="B137" s="1662" t="s">
        <v>375</v>
      </c>
      <c r="C137" s="1663">
        <v>1.1203491596467712</v>
      </c>
      <c r="D137" s="1663">
        <v>0.7289624955396059</v>
      </c>
      <c r="E137" s="1663">
        <v>0.26453966146360752</v>
      </c>
      <c r="F137" s="1663">
        <v>6.6622033743333579E-3</v>
      </c>
      <c r="G137" s="1663">
        <v>7.9297260408187579E-3</v>
      </c>
      <c r="H137" s="1663">
        <v>5.8991347476673867E-3</v>
      </c>
      <c r="I137" s="1663">
        <v>5.471111261711444E-3</v>
      </c>
      <c r="J137" s="1663">
        <v>4.0453864477456546E-3</v>
      </c>
      <c r="K137" s="1663">
        <v>2.9935432339762182E-3</v>
      </c>
      <c r="L137" s="1663">
        <v>5.2129578351114911E-3</v>
      </c>
      <c r="M137" s="1663">
        <v>0.39870699259220826</v>
      </c>
      <c r="N137" s="1663">
        <v>0.80843010082187849</v>
      </c>
      <c r="O137" s="1664">
        <v>3.8780468953651823</v>
      </c>
      <c r="P137" s="1643"/>
      <c r="R137" s="1657"/>
    </row>
    <row r="138" spans="2:20" s="1658" customFormat="1" ht="15" customHeight="1">
      <c r="B138" s="1654">
        <v>2024</v>
      </c>
      <c r="C138" s="1655">
        <f>C152/1073.18</f>
        <v>29969.155220932182</v>
      </c>
      <c r="D138" s="1655">
        <f>D152/987.68</f>
        <v>18678.52847075976</v>
      </c>
      <c r="E138" s="1655">
        <f>E152/1012.77</f>
        <v>12308.668305735755</v>
      </c>
      <c r="F138" s="1655">
        <f>F152/949.56</f>
        <v>-50.35490121740596</v>
      </c>
      <c r="G138" s="1655">
        <f>G152/1004.47</f>
        <v>369.49734685953786</v>
      </c>
      <c r="H138" s="1655">
        <f>H152/971.6</f>
        <v>11702.503087690407</v>
      </c>
      <c r="I138" s="1655">
        <f>235975/1006.64</f>
        <v>234.41846141619646</v>
      </c>
      <c r="J138" s="1655"/>
      <c r="K138" s="1655"/>
      <c r="L138" s="1655"/>
      <c r="M138" s="1655"/>
      <c r="N138" s="1655"/>
      <c r="O138" s="1656">
        <f>SUM(C138:N138)</f>
        <v>73212.415992176437</v>
      </c>
      <c r="P138" s="1643"/>
      <c r="Q138" s="1712" t="s">
        <v>1695</v>
      </c>
      <c r="R138" s="1657"/>
    </row>
    <row r="139" spans="2:20" s="1658" customFormat="1" ht="15" customHeight="1">
      <c r="B139" s="1659" t="s">
        <v>374</v>
      </c>
      <c r="C139" s="1660">
        <f t="shared" ref="C139:I139" si="64">C138/R31</f>
        <v>966.74694261071556</v>
      </c>
      <c r="D139" s="1660">
        <f t="shared" si="64"/>
        <v>667.09030252713433</v>
      </c>
      <c r="E139" s="1660">
        <f t="shared" si="64"/>
        <v>397.05381631405663</v>
      </c>
      <c r="F139" s="1660">
        <f t="shared" si="64"/>
        <v>-1.6784967072468653</v>
      </c>
      <c r="G139" s="1660">
        <f t="shared" si="64"/>
        <v>11.919269253533479</v>
      </c>
      <c r="H139" s="1660">
        <f t="shared" si="64"/>
        <v>390.08343625634694</v>
      </c>
      <c r="I139" s="1660">
        <f t="shared" si="64"/>
        <v>7.5618858521353696</v>
      </c>
      <c r="J139" s="1660"/>
      <c r="K139" s="1660"/>
      <c r="L139" s="1660"/>
      <c r="M139" s="1660"/>
      <c r="N139" s="1660"/>
      <c r="O139" s="1661">
        <f>O138/AC38</f>
        <v>200.5819616224012</v>
      </c>
      <c r="P139" s="1643"/>
      <c r="R139" s="1657"/>
    </row>
    <row r="140" spans="2:20" s="1658" customFormat="1" ht="15" customHeight="1">
      <c r="B140" s="1662" t="s">
        <v>375</v>
      </c>
      <c r="C140" s="1663">
        <f t="shared" ref="C140:F140" si="65">C138/$N$3</f>
        <v>1.0748482445419403</v>
      </c>
      <c r="D140" s="1663">
        <f t="shared" si="65"/>
        <v>0.66990822361920099</v>
      </c>
      <c r="E140" s="1663">
        <f t="shared" si="65"/>
        <v>0.44145223392311495</v>
      </c>
      <c r="F140" s="1663">
        <f t="shared" si="65"/>
        <v>-1.8059860806422859E-3</v>
      </c>
      <c r="G140" s="1663">
        <f t="shared" ref="G140:H140" si="66">G138/$N$3</f>
        <v>1.3252077734826633E-2</v>
      </c>
      <c r="H140" s="1663">
        <f t="shared" si="66"/>
        <v>0.41971202751037784</v>
      </c>
      <c r="I140" s="1663">
        <f t="shared" ref="I140" si="67">I138/$N$3</f>
        <v>8.4074532593242744E-3</v>
      </c>
      <c r="J140" s="1663"/>
      <c r="K140" s="1663"/>
      <c r="L140" s="1663"/>
      <c r="M140" s="1663"/>
      <c r="N140" s="1663"/>
      <c r="O140" s="1664">
        <f t="shared" ref="O140" si="68">O138/$N$3</f>
        <v>2.6257742745081432</v>
      </c>
      <c r="P140" s="1643"/>
      <c r="R140" s="1657"/>
    </row>
    <row r="141" spans="2:20" s="1653" customFormat="1" ht="15" customHeight="1">
      <c r="B141" s="1667" t="s">
        <v>376</v>
      </c>
      <c r="C141" s="1668">
        <f t="shared" ref="C141:F141" si="69">C138-C135</f>
        <v>-1268.6665251542145</v>
      </c>
      <c r="D141" s="1668">
        <f t="shared" si="69"/>
        <v>-1646.5642016245511</v>
      </c>
      <c r="E141" s="1668">
        <f t="shared" si="69"/>
        <v>4932.7152660819283</v>
      </c>
      <c r="F141" s="1668">
        <f t="shared" si="69"/>
        <v>-236.11192138531101</v>
      </c>
      <c r="G141" s="1668">
        <f t="shared" ref="G141:H141" si="70">G138-G135</f>
        <v>148.39898084970025</v>
      </c>
      <c r="H141" s="1668">
        <f t="shared" si="70"/>
        <v>7629.1634966628881</v>
      </c>
      <c r="I141" s="1668">
        <f t="shared" ref="I141" si="71">I138-I135</f>
        <v>81.871733572680398</v>
      </c>
      <c r="J141" s="1668"/>
      <c r="K141" s="1668"/>
      <c r="L141" s="1668"/>
      <c r="M141" s="1668"/>
      <c r="N141" s="1668"/>
      <c r="O141" s="1669">
        <f>O138-O132</f>
        <v>-34916.140714712557</v>
      </c>
      <c r="P141" s="1643"/>
      <c r="R141" s="1657"/>
    </row>
    <row r="142" spans="2:20" s="1658" customFormat="1" ht="15" customHeight="1">
      <c r="B142" s="1662" t="s">
        <v>166</v>
      </c>
      <c r="C142" s="1670">
        <f t="shared" ref="C142:F142" si="72">C141/C135</f>
        <v>-4.0613155919335453E-2</v>
      </c>
      <c r="D142" s="1670">
        <f t="shared" si="72"/>
        <v>-8.1011399463960951E-2</v>
      </c>
      <c r="E142" s="1670">
        <f t="shared" si="72"/>
        <v>0.66875632742822266</v>
      </c>
      <c r="F142" s="1670">
        <f t="shared" si="72"/>
        <v>-1.2710793980862223</v>
      </c>
      <c r="G142" s="1670">
        <f t="shared" ref="G142:H142" si="73">G141/G135</f>
        <v>0.6711898578350296</v>
      </c>
      <c r="H142" s="1670">
        <f t="shared" si="73"/>
        <v>1.8729505179160366</v>
      </c>
      <c r="I142" s="1670">
        <f t="shared" ref="I142" si="74">I141/I135</f>
        <v>0.53669937552947855</v>
      </c>
      <c r="J142" s="1670"/>
      <c r="K142" s="1670"/>
      <c r="L142" s="1670"/>
      <c r="M142" s="1670"/>
      <c r="N142" s="1670"/>
      <c r="O142" s="1671">
        <f>O141/O132</f>
        <v>-0.32291322272396528</v>
      </c>
      <c r="P142" s="1643"/>
      <c r="R142" s="1657"/>
    </row>
    <row r="143" spans="2:20" s="1653" customFormat="1" ht="12.95" customHeight="1">
      <c r="B143" s="1672"/>
      <c r="C143" s="1724"/>
      <c r="D143" s="1724"/>
      <c r="E143" s="1673"/>
      <c r="F143" s="1673"/>
      <c r="G143" s="1673"/>
      <c r="H143" s="1673"/>
      <c r="J143" s="1674"/>
      <c r="K143" s="1675"/>
      <c r="L143" s="1675"/>
      <c r="M143" s="1725"/>
      <c r="N143" s="1725"/>
      <c r="O143" s="1675"/>
      <c r="P143" s="1643"/>
      <c r="R143" s="1657"/>
    </row>
    <row r="144" spans="2:20" s="1653" customFormat="1" ht="15" customHeight="1">
      <c r="B144" s="2935" t="s">
        <v>385</v>
      </c>
      <c r="C144" s="2935"/>
      <c r="D144" s="2935"/>
      <c r="E144" s="1673"/>
      <c r="F144" s="1673"/>
      <c r="G144" s="1673"/>
      <c r="H144" s="1673"/>
      <c r="I144" s="1673"/>
      <c r="J144" s="1673"/>
      <c r="K144" s="1675"/>
      <c r="L144" s="1675"/>
      <c r="M144" s="2934" t="s">
        <v>1137</v>
      </c>
      <c r="N144" s="2934"/>
      <c r="O144" s="2934"/>
      <c r="P144" s="1643"/>
      <c r="R144" s="1657"/>
      <c r="T144" s="1703"/>
    </row>
    <row r="145" spans="2:20" s="1653" customFormat="1" ht="15" customHeight="1">
      <c r="B145" s="2147" t="s">
        <v>379</v>
      </c>
      <c r="C145" s="2148" t="s">
        <v>380</v>
      </c>
      <c r="D145" s="2148" t="s">
        <v>264</v>
      </c>
      <c r="E145" s="2148" t="s">
        <v>265</v>
      </c>
      <c r="F145" s="2148" t="s">
        <v>368</v>
      </c>
      <c r="G145" s="2148" t="s">
        <v>369</v>
      </c>
      <c r="H145" s="2148" t="s">
        <v>370</v>
      </c>
      <c r="I145" s="2148" t="s">
        <v>371</v>
      </c>
      <c r="J145" s="2148" t="s">
        <v>260</v>
      </c>
      <c r="K145" s="2148" t="s">
        <v>261</v>
      </c>
      <c r="L145" s="2148" t="s">
        <v>372</v>
      </c>
      <c r="M145" s="2148" t="s">
        <v>262</v>
      </c>
      <c r="N145" s="2148" t="s">
        <v>263</v>
      </c>
      <c r="O145" s="2149" t="s">
        <v>381</v>
      </c>
      <c r="P145" s="1643"/>
      <c r="R145" s="1657"/>
      <c r="T145" s="1726"/>
    </row>
    <row r="146" spans="2:20" s="1653" customFormat="1" ht="15" hidden="1" customHeight="1">
      <c r="B146" s="1727">
        <v>2017</v>
      </c>
      <c r="C146" s="2145">
        <v>25438212</v>
      </c>
      <c r="D146" s="2145">
        <v>22871880</v>
      </c>
      <c r="E146" s="2145">
        <v>9715288</v>
      </c>
      <c r="F146" s="2145">
        <v>68252</v>
      </c>
      <c r="G146" s="2145">
        <v>0</v>
      </c>
      <c r="H146" s="2145">
        <v>0</v>
      </c>
      <c r="I146" s="2145">
        <v>0</v>
      </c>
      <c r="J146" s="2145">
        <v>113438</v>
      </c>
      <c r="K146" s="2145">
        <v>98313</v>
      </c>
      <c r="L146" s="2145">
        <v>46111</v>
      </c>
      <c r="M146" s="2145">
        <v>10743587</v>
      </c>
      <c r="N146" s="2145">
        <v>31183028</v>
      </c>
      <c r="O146" s="2146">
        <f t="shared" ref="O146:O152" si="75">SUM(C146:N146)</f>
        <v>100278109</v>
      </c>
      <c r="P146" s="1643"/>
      <c r="R146" s="1657"/>
      <c r="T146" s="1726"/>
    </row>
    <row r="147" spans="2:20" s="1653" customFormat="1" ht="15" hidden="1" customHeight="1">
      <c r="B147" s="1677">
        <v>2018</v>
      </c>
      <c r="C147" s="1678">
        <f>24071497+66365</f>
        <v>24137862</v>
      </c>
      <c r="D147" s="1678">
        <v>23866714</v>
      </c>
      <c r="E147" s="1678">
        <v>10103930</v>
      </c>
      <c r="F147" s="1678">
        <v>258268</v>
      </c>
      <c r="G147" s="1678">
        <v>0</v>
      </c>
      <c r="H147" s="1678">
        <v>0</v>
      </c>
      <c r="I147" s="1678">
        <v>0</v>
      </c>
      <c r="J147" s="1678">
        <v>0</v>
      </c>
      <c r="K147" s="1678">
        <v>0</v>
      </c>
      <c r="L147" s="1678">
        <v>0</v>
      </c>
      <c r="M147" s="1678">
        <v>8711379</v>
      </c>
      <c r="N147" s="1678">
        <v>34932344</v>
      </c>
      <c r="O147" s="1715">
        <f t="shared" si="75"/>
        <v>102010497</v>
      </c>
      <c r="P147" s="1643"/>
      <c r="R147" s="1657"/>
      <c r="T147" s="1726"/>
    </row>
    <row r="148" spans="2:20" s="1653" customFormat="1" ht="15" hidden="1" customHeight="1">
      <c r="B148" s="1677">
        <v>2019</v>
      </c>
      <c r="C148" s="1678">
        <v>21721181</v>
      </c>
      <c r="D148" s="1678">
        <v>17072487</v>
      </c>
      <c r="E148" s="1678">
        <v>8436544</v>
      </c>
      <c r="F148" s="1678">
        <v>2091260</v>
      </c>
      <c r="G148" s="1678">
        <v>155090</v>
      </c>
      <c r="H148" s="1678">
        <v>109832</v>
      </c>
      <c r="I148" s="1678">
        <v>124178</v>
      </c>
      <c r="J148" s="1678">
        <v>91946</v>
      </c>
      <c r="K148" s="1678">
        <v>123783</v>
      </c>
      <c r="L148" s="1678">
        <v>123010</v>
      </c>
      <c r="M148" s="1678">
        <v>5961948</v>
      </c>
      <c r="N148" s="1678">
        <v>17306294</v>
      </c>
      <c r="O148" s="1715">
        <f t="shared" si="75"/>
        <v>73317553</v>
      </c>
      <c r="P148" s="1643"/>
      <c r="R148" s="1657"/>
      <c r="T148" s="1726"/>
    </row>
    <row r="149" spans="2:20" s="1653" customFormat="1" ht="15" hidden="1" customHeight="1">
      <c r="B149" s="1727">
        <v>2020</v>
      </c>
      <c r="C149" s="1678">
        <v>18535991</v>
      </c>
      <c r="D149" s="1678">
        <v>15370016</v>
      </c>
      <c r="E149" s="1678">
        <v>8018461</v>
      </c>
      <c r="F149" s="1678">
        <v>202559</v>
      </c>
      <c r="G149" s="1678">
        <v>150702</v>
      </c>
      <c r="H149" s="1678">
        <v>124250</v>
      </c>
      <c r="I149" s="1678">
        <v>126290</v>
      </c>
      <c r="J149" s="1678">
        <v>121489</v>
      </c>
      <c r="K149" s="1678">
        <v>120069</v>
      </c>
      <c r="L149" s="1678">
        <v>105027</v>
      </c>
      <c r="M149" s="1678">
        <v>4300812</v>
      </c>
      <c r="N149" s="1678">
        <v>16688477</v>
      </c>
      <c r="O149" s="1715">
        <f t="shared" si="75"/>
        <v>63864143</v>
      </c>
      <c r="P149" s="1643"/>
      <c r="R149" s="1657"/>
      <c r="T149" s="1726"/>
    </row>
    <row r="150" spans="2:20" s="1653" customFormat="1" ht="15" customHeight="1">
      <c r="B150" s="1727">
        <v>2022</v>
      </c>
      <c r="C150" s="1678">
        <v>32575884</v>
      </c>
      <c r="D150" s="1678">
        <v>32683635</v>
      </c>
      <c r="E150" s="1678">
        <v>11650451</v>
      </c>
      <c r="F150" s="1678">
        <v>277284</v>
      </c>
      <c r="G150" s="1678">
        <v>196126</v>
      </c>
      <c r="H150" s="1678">
        <v>184809</v>
      </c>
      <c r="I150" s="1678">
        <v>179984</v>
      </c>
      <c r="J150" s="1678">
        <v>216639</v>
      </c>
      <c r="K150" s="1678">
        <v>179074</v>
      </c>
      <c r="L150" s="1678">
        <v>428725</v>
      </c>
      <c r="M150" s="1678">
        <v>5124490</v>
      </c>
      <c r="N150" s="1678">
        <v>49862495</v>
      </c>
      <c r="O150" s="1715">
        <f t="shared" si="75"/>
        <v>133559596</v>
      </c>
      <c r="P150" s="1643"/>
      <c r="R150" s="1657"/>
      <c r="T150" s="1726"/>
    </row>
    <row r="151" spans="2:20" s="1653" customFormat="1" ht="15" customHeight="1">
      <c r="B151" s="1727">
        <v>2023</v>
      </c>
      <c r="C151" s="1678">
        <v>46274772</v>
      </c>
      <c r="D151" s="1678">
        <v>29718131</v>
      </c>
      <c r="E151" s="1678">
        <v>10397881</v>
      </c>
      <c r="F151" s="1678">
        <v>211750</v>
      </c>
      <c r="G151" s="1678">
        <v>223400</v>
      </c>
      <c r="H151" s="1678">
        <v>4643322</v>
      </c>
      <c r="I151" s="1678">
        <v>157924</v>
      </c>
      <c r="J151" s="1678">
        <v>110455</v>
      </c>
      <c r="K151" s="1678">
        <v>81193</v>
      </c>
      <c r="L151" s="1678">
        <v>145500</v>
      </c>
      <c r="M151" s="1678">
        <v>10356778</v>
      </c>
      <c r="N151" s="1678">
        <v>22188062</v>
      </c>
      <c r="O151" s="1715">
        <v>133559596</v>
      </c>
      <c r="P151" s="1643"/>
      <c r="R151" s="1657"/>
    </row>
    <row r="152" spans="2:20" s="1653" customFormat="1" ht="15" customHeight="1">
      <c r="B152" s="1727">
        <v>2024</v>
      </c>
      <c r="C152" s="1678">
        <v>32162298</v>
      </c>
      <c r="D152" s="1678">
        <v>18448409</v>
      </c>
      <c r="E152" s="1678">
        <v>12465850</v>
      </c>
      <c r="F152" s="1678">
        <v>-47815</v>
      </c>
      <c r="G152" s="1678">
        <v>371149</v>
      </c>
      <c r="H152" s="1678">
        <v>11370152</v>
      </c>
      <c r="I152" s="1678">
        <v>235975</v>
      </c>
      <c r="J152" s="1678"/>
      <c r="K152" s="1678"/>
      <c r="L152" s="1678"/>
      <c r="M152" s="1678"/>
      <c r="N152" s="1678"/>
      <c r="O152" s="1715">
        <f t="shared" si="75"/>
        <v>75006018</v>
      </c>
      <c r="P152" s="1643"/>
      <c r="Q152" s="1716" t="s">
        <v>1138</v>
      </c>
      <c r="R152" s="1657"/>
    </row>
    <row r="153" spans="2:20" s="1653" customFormat="1" ht="15" customHeight="1">
      <c r="B153" s="1667" t="s">
        <v>376</v>
      </c>
      <c r="C153" s="1717">
        <f t="shared" ref="C153:F153" si="76">C152-C151</f>
        <v>-14112474</v>
      </c>
      <c r="D153" s="1717">
        <f t="shared" si="76"/>
        <v>-11269722</v>
      </c>
      <c r="E153" s="1717">
        <f t="shared" si="76"/>
        <v>2067969</v>
      </c>
      <c r="F153" s="1717">
        <f t="shared" si="76"/>
        <v>-259565</v>
      </c>
      <c r="G153" s="1717">
        <f t="shared" ref="G153:H153" si="77">G152-G151</f>
        <v>147749</v>
      </c>
      <c r="H153" s="1717">
        <f t="shared" si="77"/>
        <v>6726830</v>
      </c>
      <c r="I153" s="1717">
        <f t="shared" ref="I153" si="78">I152-I151</f>
        <v>78051</v>
      </c>
      <c r="J153" s="1717"/>
      <c r="K153" s="1717"/>
      <c r="L153" s="1717"/>
      <c r="M153" s="1717"/>
      <c r="N153" s="1717"/>
      <c r="O153" s="1728">
        <f>O152-O150</f>
        <v>-58553578</v>
      </c>
      <c r="P153" s="1643"/>
      <c r="R153" s="1657"/>
    </row>
    <row r="154" spans="2:20" s="1653" customFormat="1" ht="15" customHeight="1">
      <c r="B154" s="1692" t="s">
        <v>166</v>
      </c>
      <c r="C154" s="1719">
        <f t="shared" ref="C154:F154" si="79">C153/C151</f>
        <v>-0.30497122708675906</v>
      </c>
      <c r="D154" s="1719">
        <f t="shared" si="79"/>
        <v>-0.37922041598107231</v>
      </c>
      <c r="E154" s="1719">
        <f t="shared" si="79"/>
        <v>0.19888369562990768</v>
      </c>
      <c r="F154" s="1719">
        <f t="shared" si="79"/>
        <v>-1.2258087367178276</v>
      </c>
      <c r="G154" s="1719">
        <f t="shared" ref="G154:H154" si="80">G153/G151</f>
        <v>0.66136526410026852</v>
      </c>
      <c r="H154" s="1719">
        <f t="shared" si="80"/>
        <v>1.4487106429405499</v>
      </c>
      <c r="I154" s="1719">
        <f t="shared" ref="I154" si="81">I153/I151</f>
        <v>0.49423140244674652</v>
      </c>
      <c r="J154" s="1719"/>
      <c r="K154" s="1719"/>
      <c r="L154" s="1719"/>
      <c r="M154" s="1719"/>
      <c r="N154" s="1719"/>
      <c r="O154" s="1729">
        <f>O153/O150</f>
        <v>-0.43840786999685144</v>
      </c>
      <c r="P154" s="1643"/>
      <c r="R154" s="1657"/>
    </row>
    <row r="155" spans="2:20" s="1653" customFormat="1" ht="12.95" customHeight="1">
      <c r="B155" s="1672"/>
      <c r="C155" s="1673"/>
      <c r="D155" s="1673"/>
      <c r="E155" s="1673"/>
      <c r="F155" s="1673"/>
      <c r="G155" s="1673"/>
      <c r="H155" s="1673"/>
      <c r="I155" s="1673"/>
      <c r="J155" s="1673"/>
      <c r="K155" s="1675"/>
      <c r="L155" s="1675"/>
      <c r="M155" s="1675"/>
      <c r="N155" s="1675"/>
      <c r="O155" s="1675"/>
      <c r="P155" s="1643"/>
      <c r="R155" s="1657"/>
    </row>
    <row r="156" spans="2:20" s="1653" customFormat="1" ht="12.95" customHeight="1">
      <c r="B156" s="1673"/>
      <c r="C156" s="1673"/>
      <c r="D156" s="1673"/>
      <c r="E156" s="1673"/>
      <c r="F156" s="1673"/>
      <c r="G156" s="1673"/>
      <c r="H156" s="1673"/>
      <c r="I156" s="1673"/>
      <c r="J156" s="1673"/>
      <c r="K156" s="1695" t="s">
        <v>379</v>
      </c>
      <c r="L156" s="1696" t="s">
        <v>382</v>
      </c>
      <c r="M156" s="1696" t="s">
        <v>374</v>
      </c>
      <c r="N156" s="1696" t="s">
        <v>383</v>
      </c>
      <c r="O156" s="1697" t="s">
        <v>384</v>
      </c>
      <c r="P156" s="1643"/>
      <c r="R156" s="1657"/>
    </row>
    <row r="157" spans="2:20" s="1653" customFormat="1" ht="12.95" hidden="1" customHeight="1">
      <c r="B157" s="1673"/>
      <c r="C157" s="1673"/>
      <c r="D157" s="1673"/>
      <c r="E157" s="1673"/>
      <c r="F157" s="1673"/>
      <c r="G157" s="1673"/>
      <c r="H157" s="1673"/>
      <c r="I157" s="1673"/>
      <c r="J157" s="1673"/>
      <c r="K157" s="1698">
        <f>B146</f>
        <v>2017</v>
      </c>
      <c r="L157" s="1699">
        <f>O146/12</f>
        <v>8356509.083333333</v>
      </c>
      <c r="M157" s="1699">
        <f>O146/365</f>
        <v>274734.54520547943</v>
      </c>
      <c r="N157" s="1699">
        <f>MAX(C146:N146)</f>
        <v>31183028</v>
      </c>
      <c r="O157" s="1700">
        <f>MIN(C146:N146)</f>
        <v>0</v>
      </c>
      <c r="P157" s="1643"/>
      <c r="R157" s="1657"/>
    </row>
    <row r="158" spans="2:20" s="1653" customFormat="1" ht="12.95" hidden="1" customHeight="1">
      <c r="B158" s="1673"/>
      <c r="C158" s="1673"/>
      <c r="D158" s="1673"/>
      <c r="E158" s="1673"/>
      <c r="F158" s="1673"/>
      <c r="G158" s="1673"/>
      <c r="H158" s="1673"/>
      <c r="I158" s="1673"/>
      <c r="J158" s="1673"/>
      <c r="K158" s="1698">
        <f>B147</f>
        <v>2018</v>
      </c>
      <c r="L158" s="1699">
        <f>O147/12</f>
        <v>8500874.75</v>
      </c>
      <c r="M158" s="1699">
        <f>O147/365</f>
        <v>279480.81369863014</v>
      </c>
      <c r="N158" s="1699">
        <f>MAX(C147:N147)</f>
        <v>34932344</v>
      </c>
      <c r="O158" s="1700">
        <f>MIN(C147:N147)</f>
        <v>0</v>
      </c>
      <c r="P158" s="1643"/>
      <c r="R158" s="1657"/>
    </row>
    <row r="159" spans="2:20" s="1653" customFormat="1" ht="12.95" hidden="1" customHeight="1">
      <c r="B159" s="1673"/>
      <c r="C159" s="1673"/>
      <c r="D159" s="1673"/>
      <c r="E159" s="1673"/>
      <c r="F159" s="1673"/>
      <c r="G159" s="1673"/>
      <c r="H159" s="1673"/>
      <c r="I159" s="1673"/>
      <c r="J159" s="1673"/>
      <c r="K159" s="1698">
        <v>2019</v>
      </c>
      <c r="L159" s="1699">
        <f>O148/12</f>
        <v>6109796.083333333</v>
      </c>
      <c r="M159" s="1699">
        <f>O148/365</f>
        <v>200870.0082191781</v>
      </c>
      <c r="N159" s="1699">
        <f>MAX(C148:N148)</f>
        <v>21721181</v>
      </c>
      <c r="O159" s="1700">
        <f>MIN(C148:N148)</f>
        <v>91946</v>
      </c>
      <c r="P159" s="1643"/>
      <c r="R159" s="1657"/>
    </row>
    <row r="160" spans="2:20" s="1653" customFormat="1" ht="12.95" hidden="1" customHeight="1">
      <c r="B160" s="1673"/>
      <c r="C160" s="1673"/>
      <c r="D160" s="1673"/>
      <c r="E160" s="1673"/>
      <c r="F160" s="1673"/>
      <c r="G160" s="1673"/>
      <c r="H160" s="1673"/>
      <c r="I160" s="1673"/>
      <c r="J160" s="1673"/>
      <c r="K160" s="1698">
        <v>2020</v>
      </c>
      <c r="L160" s="1699">
        <f>O149/12</f>
        <v>5322011.916666667</v>
      </c>
      <c r="M160" s="1699">
        <f>O149/366</f>
        <v>174492.19398907103</v>
      </c>
      <c r="N160" s="1699">
        <f>MAX(C149:N149)</f>
        <v>18535991</v>
      </c>
      <c r="O160" s="1700">
        <f>MIN(C149:N149)</f>
        <v>105027</v>
      </c>
      <c r="P160" s="1643"/>
      <c r="R160" s="1657"/>
    </row>
    <row r="161" spans="1:30" s="1653" customFormat="1" ht="12.95" customHeight="1">
      <c r="B161" s="1673"/>
      <c r="C161" s="1673"/>
      <c r="D161" s="1673"/>
      <c r="E161" s="1673"/>
      <c r="F161" s="1673"/>
      <c r="G161" s="1673"/>
      <c r="H161" s="1673"/>
      <c r="I161" s="1673"/>
      <c r="J161" s="1673"/>
      <c r="K161" s="1698">
        <v>2022</v>
      </c>
      <c r="L161" s="1699">
        <f>O150/12</f>
        <v>11129966.333333334</v>
      </c>
      <c r="M161" s="1699">
        <f>O150/$AC$38</f>
        <v>365916.701369863</v>
      </c>
      <c r="N161" s="1699">
        <f>MAX(C150:N150)</f>
        <v>49862495</v>
      </c>
      <c r="O161" s="1700">
        <f>MIN(C150:N150)</f>
        <v>179074</v>
      </c>
      <c r="P161" s="1643"/>
      <c r="R161" s="1657"/>
    </row>
    <row r="162" spans="1:30" s="1653" customFormat="1" ht="12.95" customHeight="1">
      <c r="B162" s="1673"/>
      <c r="C162" s="1673"/>
      <c r="D162" s="1673"/>
      <c r="E162" s="1673"/>
      <c r="F162" s="1673"/>
      <c r="G162" s="1673"/>
      <c r="H162" s="1673"/>
      <c r="I162" s="1673"/>
      <c r="J162" s="1673"/>
      <c r="K162" s="1698">
        <v>2023</v>
      </c>
      <c r="L162" s="1699">
        <f t="shared" ref="L162" si="82">O151/12</f>
        <v>11129966.333333334</v>
      </c>
      <c r="M162" s="1699">
        <f>O151/$AC$38</f>
        <v>365916.701369863</v>
      </c>
      <c r="N162" s="1699">
        <f t="shared" ref="N162:N163" si="83">MAX(C151:N151)</f>
        <v>46274772</v>
      </c>
      <c r="O162" s="1700">
        <f t="shared" ref="O162:O163" si="84">MIN(C151:N151)</f>
        <v>81193</v>
      </c>
      <c r="P162" s="1643"/>
      <c r="R162" s="1657"/>
    </row>
    <row r="163" spans="1:30" s="1653" customFormat="1" ht="12.95" customHeight="1">
      <c r="B163" s="1673"/>
      <c r="C163" s="1673"/>
      <c r="D163" s="1673"/>
      <c r="E163" s="1673"/>
      <c r="F163" s="1673"/>
      <c r="G163" s="1673"/>
      <c r="H163" s="1673"/>
      <c r="I163" s="1673"/>
      <c r="J163" s="1673"/>
      <c r="K163" s="1698">
        <v>2024</v>
      </c>
      <c r="L163" s="1699">
        <f>O152/12</f>
        <v>6250501.5</v>
      </c>
      <c r="M163" s="1699">
        <f>O152/$AC$38</f>
        <v>205495.9397260274</v>
      </c>
      <c r="N163" s="1699">
        <f t="shared" si="83"/>
        <v>32162298</v>
      </c>
      <c r="O163" s="1700">
        <f t="shared" si="84"/>
        <v>-47815</v>
      </c>
      <c r="P163" s="1643"/>
      <c r="R163" s="1657"/>
    </row>
    <row r="164" spans="1:30" s="1653" customFormat="1" ht="12.95" customHeight="1">
      <c r="B164" s="1673"/>
      <c r="C164" s="1673"/>
      <c r="D164" s="1673"/>
      <c r="E164" s="1673"/>
      <c r="F164" s="1673"/>
      <c r="G164" s="1673"/>
      <c r="H164" s="1673"/>
      <c r="I164" s="1673"/>
      <c r="J164" s="1673"/>
      <c r="K164" s="1667" t="s">
        <v>376</v>
      </c>
      <c r="L164" s="1699">
        <f>L162-L161</f>
        <v>0</v>
      </c>
      <c r="M164" s="1699">
        <f>M162-M161</f>
        <v>0</v>
      </c>
      <c r="N164" s="1699"/>
      <c r="O164" s="1700"/>
      <c r="P164" s="1643"/>
      <c r="R164" s="1657"/>
    </row>
    <row r="165" spans="1:30" s="1653" customFormat="1" ht="12.95" customHeight="1">
      <c r="B165" s="1673"/>
      <c r="C165" s="1673"/>
      <c r="D165" s="1673"/>
      <c r="E165" s="1673"/>
      <c r="F165" s="1673"/>
      <c r="G165" s="1673"/>
      <c r="H165" s="1673"/>
      <c r="I165" s="1673"/>
      <c r="J165" s="1673"/>
      <c r="K165" s="1692" t="s">
        <v>166</v>
      </c>
      <c r="L165" s="1693">
        <f>L164/L161</f>
        <v>0</v>
      </c>
      <c r="M165" s="1693">
        <f>M164/M161</f>
        <v>0</v>
      </c>
      <c r="N165" s="1693"/>
      <c r="O165" s="1730"/>
      <c r="P165" s="1643"/>
      <c r="R165" s="1657"/>
      <c r="V165" s="1731">
        <f>100%-V168</f>
        <v>1.2710793980862223</v>
      </c>
      <c r="W165" s="1731">
        <f>100%-W168</f>
        <v>-0.67118985783502971</v>
      </c>
      <c r="X165" s="1731">
        <f>100%-X168</f>
        <v>-1.8729505179160366</v>
      </c>
      <c r="Y165" s="1703">
        <f>100%-Y168</f>
        <v>-0.53669937552947866</v>
      </c>
      <c r="Z165" s="1703">
        <f>100%-Z168</f>
        <v>1</v>
      </c>
    </row>
    <row r="166" spans="1:30" s="1653" customFormat="1" ht="12.95" customHeight="1">
      <c r="B166" s="1673"/>
      <c r="C166" s="1673"/>
      <c r="D166" s="1673"/>
      <c r="E166" s="1673"/>
      <c r="F166" s="1673"/>
      <c r="G166" s="1673"/>
      <c r="H166" s="1673"/>
      <c r="I166" s="1673"/>
      <c r="J166" s="1673"/>
      <c r="K166" s="1675" t="s">
        <v>1139</v>
      </c>
      <c r="P166" s="1643"/>
      <c r="R166" s="1657"/>
      <c r="S166" s="1657" t="s">
        <v>1140</v>
      </c>
      <c r="V166" s="1658">
        <f>100-V168</f>
        <v>100.27107939808623</v>
      </c>
      <c r="W166" s="1658">
        <f>100-W168</f>
        <v>98.328810142164969</v>
      </c>
      <c r="X166" s="1658">
        <f>100-X168</f>
        <v>97.127049482083962</v>
      </c>
      <c r="Y166" s="1658">
        <f>100-Y168</f>
        <v>98.46330062447052</v>
      </c>
      <c r="Z166" s="1658">
        <f>100-Z168</f>
        <v>100</v>
      </c>
    </row>
    <row r="167" spans="1:30" s="1653" customFormat="1" ht="12.95" customHeight="1">
      <c r="B167" s="1673"/>
      <c r="C167" s="1673"/>
      <c r="D167" s="1673"/>
      <c r="E167" s="1673"/>
      <c r="F167" s="1673"/>
      <c r="G167" s="1673"/>
      <c r="H167" s="1673"/>
      <c r="I167" s="1673"/>
      <c r="J167" s="1673"/>
      <c r="K167" s="2936" t="s">
        <v>2158</v>
      </c>
      <c r="L167" s="2937"/>
      <c r="M167" s="2937"/>
      <c r="N167" s="2937"/>
      <c r="O167" s="2938"/>
      <c r="P167" s="1704"/>
      <c r="Q167" s="1703"/>
      <c r="R167" s="1657"/>
      <c r="S167" s="1676" t="s">
        <v>1141</v>
      </c>
      <c r="T167" s="1676" t="s">
        <v>264</v>
      </c>
      <c r="U167" s="1676" t="s">
        <v>265</v>
      </c>
      <c r="V167" s="1676" t="s">
        <v>368</v>
      </c>
      <c r="W167" s="1676" t="s">
        <v>369</v>
      </c>
      <c r="X167" s="1676" t="s">
        <v>370</v>
      </c>
      <c r="Y167" s="1676" t="s">
        <v>371</v>
      </c>
      <c r="Z167" s="1676" t="s">
        <v>260</v>
      </c>
      <c r="AA167" s="1676" t="s">
        <v>261</v>
      </c>
      <c r="AB167" s="1676" t="s">
        <v>372</v>
      </c>
      <c r="AC167" s="1676" t="s">
        <v>262</v>
      </c>
      <c r="AD167" s="1676" t="s">
        <v>263</v>
      </c>
    </row>
    <row r="168" spans="1:30" s="1653" customFormat="1" ht="12.95" customHeight="1">
      <c r="B168" s="1673"/>
      <c r="C168" s="1673"/>
      <c r="D168" s="1673"/>
      <c r="E168" s="1673"/>
      <c r="F168" s="1673"/>
      <c r="G168" s="1673"/>
      <c r="H168" s="1673"/>
      <c r="I168" s="1673"/>
      <c r="J168" s="1673"/>
      <c r="K168" s="2939"/>
      <c r="L168" s="2940"/>
      <c r="M168" s="2940"/>
      <c r="N168" s="2940"/>
      <c r="O168" s="2941"/>
      <c r="P168" s="1704"/>
      <c r="Q168" s="1703"/>
      <c r="R168" s="1702" t="s">
        <v>1142</v>
      </c>
      <c r="S168" s="1703">
        <f>C138/C135</f>
        <v>0.95938684408066455</v>
      </c>
      <c r="T168" s="1703">
        <f>D138/D135</f>
        <v>0.91898860053603904</v>
      </c>
      <c r="U168" s="1703">
        <f t="shared" ref="U168:AD168" si="85">E138/E135</f>
        <v>1.6687563274282227</v>
      </c>
      <c r="V168" s="1703">
        <f t="shared" si="85"/>
        <v>-0.27107939808622233</v>
      </c>
      <c r="W168" s="1703">
        <f t="shared" si="85"/>
        <v>1.6711898578350297</v>
      </c>
      <c r="X168" s="1703">
        <f t="shared" si="85"/>
        <v>2.8729505179160366</v>
      </c>
      <c r="Y168" s="1703">
        <f t="shared" si="85"/>
        <v>1.5366993755294787</v>
      </c>
      <c r="Z168" s="1703">
        <f t="shared" si="85"/>
        <v>0</v>
      </c>
      <c r="AA168" s="1703">
        <f t="shared" si="85"/>
        <v>0</v>
      </c>
      <c r="AB168" s="1703">
        <f t="shared" si="85"/>
        <v>0</v>
      </c>
      <c r="AC168" s="1703">
        <f t="shared" si="85"/>
        <v>0</v>
      </c>
      <c r="AD168" s="1703">
        <f t="shared" si="85"/>
        <v>0</v>
      </c>
    </row>
    <row r="169" spans="1:30" s="1653" customFormat="1" ht="12.95" customHeight="1">
      <c r="B169" s="1673"/>
      <c r="C169" s="1673"/>
      <c r="D169" s="1673"/>
      <c r="E169" s="1673"/>
      <c r="F169" s="1673"/>
      <c r="G169" s="1673"/>
      <c r="H169" s="1673"/>
      <c r="I169" s="1673"/>
      <c r="J169" s="1673"/>
      <c r="K169" s="2939"/>
      <c r="L169" s="2940"/>
      <c r="M169" s="2940"/>
      <c r="N169" s="2940"/>
      <c r="O169" s="2941"/>
      <c r="P169" s="1704"/>
      <c r="R169" s="1702" t="s">
        <v>1143</v>
      </c>
      <c r="S169" s="1703">
        <f>C152/C151</f>
        <v>0.69502877291324094</v>
      </c>
      <c r="T169" s="1703">
        <f>D152/D151</f>
        <v>0.62077958401892774</v>
      </c>
      <c r="U169" s="1703">
        <f t="shared" ref="U169:AD169" si="86">E152/E151</f>
        <v>1.1988836956299076</v>
      </c>
      <c r="V169" s="1703">
        <f t="shared" si="86"/>
        <v>-0.22580873671782764</v>
      </c>
      <c r="W169" s="1703">
        <f t="shared" si="86"/>
        <v>1.6613652641002685</v>
      </c>
      <c r="X169" s="1703">
        <f t="shared" si="86"/>
        <v>2.4487106429405499</v>
      </c>
      <c r="Y169" s="1703">
        <f t="shared" si="86"/>
        <v>1.4942314024467465</v>
      </c>
      <c r="Z169" s="1703">
        <f t="shared" si="86"/>
        <v>0</v>
      </c>
      <c r="AA169" s="1703">
        <f t="shared" si="86"/>
        <v>0</v>
      </c>
      <c r="AB169" s="1703">
        <f t="shared" si="86"/>
        <v>0</v>
      </c>
      <c r="AC169" s="1703">
        <f t="shared" si="86"/>
        <v>0</v>
      </c>
      <c r="AD169" s="1703">
        <f t="shared" si="86"/>
        <v>0</v>
      </c>
    </row>
    <row r="170" spans="1:30" s="1653" customFormat="1" ht="12.95" customHeight="1">
      <c r="B170" s="1673"/>
      <c r="C170" s="1673"/>
      <c r="D170" s="1673"/>
      <c r="E170" s="1673"/>
      <c r="F170" s="1673"/>
      <c r="G170" s="1673"/>
      <c r="H170" s="1673"/>
      <c r="I170" s="1673"/>
      <c r="J170" s="1673"/>
      <c r="K170" s="2939"/>
      <c r="L170" s="2940"/>
      <c r="M170" s="2940"/>
      <c r="N170" s="2940"/>
      <c r="O170" s="2941"/>
      <c r="P170" s="1704"/>
      <c r="Q170" s="1703"/>
      <c r="R170" s="1657"/>
    </row>
    <row r="171" spans="1:30" s="1653" customFormat="1" ht="12.95" customHeight="1">
      <c r="B171" s="1675"/>
      <c r="C171" s="1675"/>
      <c r="D171" s="1675"/>
      <c r="E171" s="1675"/>
      <c r="F171" s="1675"/>
      <c r="G171" s="1675"/>
      <c r="H171" s="1675"/>
      <c r="I171" s="1675"/>
      <c r="J171" s="1675"/>
      <c r="K171" s="2942"/>
      <c r="L171" s="2943"/>
      <c r="M171" s="2943"/>
      <c r="N171" s="2943"/>
      <c r="O171" s="2944"/>
      <c r="P171" s="1704"/>
      <c r="R171" s="1657"/>
    </row>
    <row r="172" spans="1:30" s="1653" customFormat="1" ht="12.95" customHeight="1" thickBot="1">
      <c r="A172" s="1705"/>
      <c r="B172" s="1705"/>
      <c r="C172" s="1705"/>
      <c r="D172" s="1705"/>
      <c r="E172" s="1705"/>
      <c r="F172" s="1705"/>
      <c r="G172" s="1705"/>
      <c r="H172" s="1705"/>
      <c r="I172" s="1705"/>
      <c r="J172" s="1705"/>
      <c r="K172" s="1705"/>
      <c r="L172" s="1705"/>
      <c r="M172" s="1705"/>
      <c r="N172" s="1705"/>
      <c r="O172" s="1705"/>
      <c r="P172" s="1643"/>
      <c r="R172" s="1657"/>
    </row>
    <row r="175" spans="1:30">
      <c r="D175" s="1732"/>
    </row>
    <row r="177" spans="5:18">
      <c r="E177" s="1735"/>
      <c r="F177" s="1735"/>
      <c r="R177" s="1736"/>
    </row>
    <row r="184" spans="5:18">
      <c r="J184" s="1736"/>
    </row>
  </sheetData>
  <mergeCells count="15">
    <mergeCell ref="B144:D144"/>
    <mergeCell ref="M144:O144"/>
    <mergeCell ref="K167:O171"/>
    <mergeCell ref="B62:D62"/>
    <mergeCell ref="M62:O62"/>
    <mergeCell ref="M88:O88"/>
    <mergeCell ref="K111:O115"/>
    <mergeCell ref="B118:D118"/>
    <mergeCell ref="M118:O118"/>
    <mergeCell ref="K54:O59"/>
    <mergeCell ref="Q1:R4"/>
    <mergeCell ref="B5:D5"/>
    <mergeCell ref="M5:O5"/>
    <mergeCell ref="B31:D31"/>
    <mergeCell ref="M31:O31"/>
  </mergeCells>
  <phoneticPr fontId="6" type="noConversion"/>
  <pageMargins left="0.7" right="0.7" top="0.75" bottom="0.75" header="0.3" footer="0.3"/>
  <pageSetup paperSize="9" scale="44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59999389629810485"/>
    <pageSetUpPr fitToPage="1"/>
  </sheetPr>
  <dimension ref="A2:AB40"/>
  <sheetViews>
    <sheetView showGridLines="0" view="pageBreakPreview" zoomScale="85" zoomScaleNormal="55" zoomScaleSheetLayoutView="85" workbookViewId="0">
      <selection activeCell="B2" sqref="B2"/>
    </sheetView>
  </sheetViews>
  <sheetFormatPr defaultColWidth="8.875" defaultRowHeight="15"/>
  <cols>
    <col min="1" max="1" width="1.625" style="1740" customWidth="1"/>
    <col min="2" max="2" width="8.5" style="1740" customWidth="1"/>
    <col min="3" max="9" width="8.75" style="1740" customWidth="1"/>
    <col min="10" max="10" width="9" style="1740" customWidth="1"/>
    <col min="11" max="11" width="8.875" style="1740"/>
    <col min="12" max="12" width="10" style="1740" customWidth="1"/>
    <col min="13" max="20" width="8.875" style="1740"/>
    <col min="21" max="21" width="2.625" style="1740" customWidth="1"/>
    <col min="22" max="256" width="8.875" style="1740"/>
    <col min="257" max="257" width="1.625" style="1740" customWidth="1"/>
    <col min="258" max="258" width="8.5" style="1740" customWidth="1"/>
    <col min="259" max="266" width="11.125" style="1740" customWidth="1"/>
    <col min="267" max="267" width="8.875" style="1740"/>
    <col min="268" max="268" width="15.25" style="1740" bestFit="1" customWidth="1"/>
    <col min="269" max="512" width="8.875" style="1740"/>
    <col min="513" max="513" width="1.625" style="1740" customWidth="1"/>
    <col min="514" max="514" width="8.5" style="1740" customWidth="1"/>
    <col min="515" max="522" width="11.125" style="1740" customWidth="1"/>
    <col min="523" max="523" width="8.875" style="1740"/>
    <col min="524" max="524" width="15.25" style="1740" bestFit="1" customWidth="1"/>
    <col min="525" max="768" width="8.875" style="1740"/>
    <col min="769" max="769" width="1.625" style="1740" customWidth="1"/>
    <col min="770" max="770" width="8.5" style="1740" customWidth="1"/>
    <col min="771" max="778" width="11.125" style="1740" customWidth="1"/>
    <col min="779" max="779" width="8.875" style="1740"/>
    <col min="780" max="780" width="15.25" style="1740" bestFit="1" customWidth="1"/>
    <col min="781" max="1024" width="8.875" style="1740"/>
    <col min="1025" max="1025" width="1.625" style="1740" customWidth="1"/>
    <col min="1026" max="1026" width="8.5" style="1740" customWidth="1"/>
    <col min="1027" max="1034" width="11.125" style="1740" customWidth="1"/>
    <col min="1035" max="1035" width="8.875" style="1740"/>
    <col min="1036" max="1036" width="15.25" style="1740" bestFit="1" customWidth="1"/>
    <col min="1037" max="1280" width="8.875" style="1740"/>
    <col min="1281" max="1281" width="1.625" style="1740" customWidth="1"/>
    <col min="1282" max="1282" width="8.5" style="1740" customWidth="1"/>
    <col min="1283" max="1290" width="11.125" style="1740" customWidth="1"/>
    <col min="1291" max="1291" width="8.875" style="1740"/>
    <col min="1292" max="1292" width="15.25" style="1740" bestFit="1" customWidth="1"/>
    <col min="1293" max="1536" width="8.875" style="1740"/>
    <col min="1537" max="1537" width="1.625" style="1740" customWidth="1"/>
    <col min="1538" max="1538" width="8.5" style="1740" customWidth="1"/>
    <col min="1539" max="1546" width="11.125" style="1740" customWidth="1"/>
    <col min="1547" max="1547" width="8.875" style="1740"/>
    <col min="1548" max="1548" width="15.25" style="1740" bestFit="1" customWidth="1"/>
    <col min="1549" max="1792" width="8.875" style="1740"/>
    <col min="1793" max="1793" width="1.625" style="1740" customWidth="1"/>
    <col min="1794" max="1794" width="8.5" style="1740" customWidth="1"/>
    <col min="1795" max="1802" width="11.125" style="1740" customWidth="1"/>
    <col min="1803" max="1803" width="8.875" style="1740"/>
    <col min="1804" max="1804" width="15.25" style="1740" bestFit="1" customWidth="1"/>
    <col min="1805" max="2048" width="8.875" style="1740"/>
    <col min="2049" max="2049" width="1.625" style="1740" customWidth="1"/>
    <col min="2050" max="2050" width="8.5" style="1740" customWidth="1"/>
    <col min="2051" max="2058" width="11.125" style="1740" customWidth="1"/>
    <col min="2059" max="2059" width="8.875" style="1740"/>
    <col min="2060" max="2060" width="15.25" style="1740" bestFit="1" customWidth="1"/>
    <col min="2061" max="2304" width="8.875" style="1740"/>
    <col min="2305" max="2305" width="1.625" style="1740" customWidth="1"/>
    <col min="2306" max="2306" width="8.5" style="1740" customWidth="1"/>
    <col min="2307" max="2314" width="11.125" style="1740" customWidth="1"/>
    <col min="2315" max="2315" width="8.875" style="1740"/>
    <col min="2316" max="2316" width="15.25" style="1740" bestFit="1" customWidth="1"/>
    <col min="2317" max="2560" width="8.875" style="1740"/>
    <col min="2561" max="2561" width="1.625" style="1740" customWidth="1"/>
    <col min="2562" max="2562" width="8.5" style="1740" customWidth="1"/>
    <col min="2563" max="2570" width="11.125" style="1740" customWidth="1"/>
    <col min="2571" max="2571" width="8.875" style="1740"/>
    <col min="2572" max="2572" width="15.25" style="1740" bestFit="1" customWidth="1"/>
    <col min="2573" max="2816" width="8.875" style="1740"/>
    <col min="2817" max="2817" width="1.625" style="1740" customWidth="1"/>
    <col min="2818" max="2818" width="8.5" style="1740" customWidth="1"/>
    <col min="2819" max="2826" width="11.125" style="1740" customWidth="1"/>
    <col min="2827" max="2827" width="8.875" style="1740"/>
    <col min="2828" max="2828" width="15.25" style="1740" bestFit="1" customWidth="1"/>
    <col min="2829" max="3072" width="8.875" style="1740"/>
    <col min="3073" max="3073" width="1.625" style="1740" customWidth="1"/>
    <col min="3074" max="3074" width="8.5" style="1740" customWidth="1"/>
    <col min="3075" max="3082" width="11.125" style="1740" customWidth="1"/>
    <col min="3083" max="3083" width="8.875" style="1740"/>
    <col min="3084" max="3084" width="15.25" style="1740" bestFit="1" customWidth="1"/>
    <col min="3085" max="3328" width="8.875" style="1740"/>
    <col min="3329" max="3329" width="1.625" style="1740" customWidth="1"/>
    <col min="3330" max="3330" width="8.5" style="1740" customWidth="1"/>
    <col min="3331" max="3338" width="11.125" style="1740" customWidth="1"/>
    <col min="3339" max="3339" width="8.875" style="1740"/>
    <col min="3340" max="3340" width="15.25" style="1740" bestFit="1" customWidth="1"/>
    <col min="3341" max="3584" width="8.875" style="1740"/>
    <col min="3585" max="3585" width="1.625" style="1740" customWidth="1"/>
    <col min="3586" max="3586" width="8.5" style="1740" customWidth="1"/>
    <col min="3587" max="3594" width="11.125" style="1740" customWidth="1"/>
    <col min="3595" max="3595" width="8.875" style="1740"/>
    <col min="3596" max="3596" width="15.25" style="1740" bestFit="1" customWidth="1"/>
    <col min="3597" max="3840" width="8.875" style="1740"/>
    <col min="3841" max="3841" width="1.625" style="1740" customWidth="1"/>
    <col min="3842" max="3842" width="8.5" style="1740" customWidth="1"/>
    <col min="3843" max="3850" width="11.125" style="1740" customWidth="1"/>
    <col min="3851" max="3851" width="8.875" style="1740"/>
    <col min="3852" max="3852" width="15.25" style="1740" bestFit="1" customWidth="1"/>
    <col min="3853" max="4096" width="8.875" style="1740"/>
    <col min="4097" max="4097" width="1.625" style="1740" customWidth="1"/>
    <col min="4098" max="4098" width="8.5" style="1740" customWidth="1"/>
    <col min="4099" max="4106" width="11.125" style="1740" customWidth="1"/>
    <col min="4107" max="4107" width="8.875" style="1740"/>
    <col min="4108" max="4108" width="15.25" style="1740" bestFit="1" customWidth="1"/>
    <col min="4109" max="4352" width="8.875" style="1740"/>
    <col min="4353" max="4353" width="1.625" style="1740" customWidth="1"/>
    <col min="4354" max="4354" width="8.5" style="1740" customWidth="1"/>
    <col min="4355" max="4362" width="11.125" style="1740" customWidth="1"/>
    <col min="4363" max="4363" width="8.875" style="1740"/>
    <col min="4364" max="4364" width="15.25" style="1740" bestFit="1" customWidth="1"/>
    <col min="4365" max="4608" width="8.875" style="1740"/>
    <col min="4609" max="4609" width="1.625" style="1740" customWidth="1"/>
    <col min="4610" max="4610" width="8.5" style="1740" customWidth="1"/>
    <col min="4611" max="4618" width="11.125" style="1740" customWidth="1"/>
    <col min="4619" max="4619" width="8.875" style="1740"/>
    <col min="4620" max="4620" width="15.25" style="1740" bestFit="1" customWidth="1"/>
    <col min="4621" max="4864" width="8.875" style="1740"/>
    <col min="4865" max="4865" width="1.625" style="1740" customWidth="1"/>
    <col min="4866" max="4866" width="8.5" style="1740" customWidth="1"/>
    <col min="4867" max="4874" width="11.125" style="1740" customWidth="1"/>
    <col min="4875" max="4875" width="8.875" style="1740"/>
    <col min="4876" max="4876" width="15.25" style="1740" bestFit="1" customWidth="1"/>
    <col min="4877" max="5120" width="8.875" style="1740"/>
    <col min="5121" max="5121" width="1.625" style="1740" customWidth="1"/>
    <col min="5122" max="5122" width="8.5" style="1740" customWidth="1"/>
    <col min="5123" max="5130" width="11.125" style="1740" customWidth="1"/>
    <col min="5131" max="5131" width="8.875" style="1740"/>
    <col min="5132" max="5132" width="15.25" style="1740" bestFit="1" customWidth="1"/>
    <col min="5133" max="5376" width="8.875" style="1740"/>
    <col min="5377" max="5377" width="1.625" style="1740" customWidth="1"/>
    <col min="5378" max="5378" width="8.5" style="1740" customWidth="1"/>
    <col min="5379" max="5386" width="11.125" style="1740" customWidth="1"/>
    <col min="5387" max="5387" width="8.875" style="1740"/>
    <col min="5388" max="5388" width="15.25" style="1740" bestFit="1" customWidth="1"/>
    <col min="5389" max="5632" width="8.875" style="1740"/>
    <col min="5633" max="5633" width="1.625" style="1740" customWidth="1"/>
    <col min="5634" max="5634" width="8.5" style="1740" customWidth="1"/>
    <col min="5635" max="5642" width="11.125" style="1740" customWidth="1"/>
    <col min="5643" max="5643" width="8.875" style="1740"/>
    <col min="5644" max="5644" width="15.25" style="1740" bestFit="1" customWidth="1"/>
    <col min="5645" max="5888" width="8.875" style="1740"/>
    <col min="5889" max="5889" width="1.625" style="1740" customWidth="1"/>
    <col min="5890" max="5890" width="8.5" style="1740" customWidth="1"/>
    <col min="5891" max="5898" width="11.125" style="1740" customWidth="1"/>
    <col min="5899" max="5899" width="8.875" style="1740"/>
    <col min="5900" max="5900" width="15.25" style="1740" bestFit="1" customWidth="1"/>
    <col min="5901" max="6144" width="8.875" style="1740"/>
    <col min="6145" max="6145" width="1.625" style="1740" customWidth="1"/>
    <col min="6146" max="6146" width="8.5" style="1740" customWidth="1"/>
    <col min="6147" max="6154" width="11.125" style="1740" customWidth="1"/>
    <col min="6155" max="6155" width="8.875" style="1740"/>
    <col min="6156" max="6156" width="15.25" style="1740" bestFit="1" customWidth="1"/>
    <col min="6157" max="6400" width="8.875" style="1740"/>
    <col min="6401" max="6401" width="1.625" style="1740" customWidth="1"/>
    <col min="6402" max="6402" width="8.5" style="1740" customWidth="1"/>
    <col min="6403" max="6410" width="11.125" style="1740" customWidth="1"/>
    <col min="6411" max="6411" width="8.875" style="1740"/>
    <col min="6412" max="6412" width="15.25" style="1740" bestFit="1" customWidth="1"/>
    <col min="6413" max="6656" width="8.875" style="1740"/>
    <col min="6657" max="6657" width="1.625" style="1740" customWidth="1"/>
    <col min="6658" max="6658" width="8.5" style="1740" customWidth="1"/>
    <col min="6659" max="6666" width="11.125" style="1740" customWidth="1"/>
    <col min="6667" max="6667" width="8.875" style="1740"/>
    <col min="6668" max="6668" width="15.25" style="1740" bestFit="1" customWidth="1"/>
    <col min="6669" max="6912" width="8.875" style="1740"/>
    <col min="6913" max="6913" width="1.625" style="1740" customWidth="1"/>
    <col min="6914" max="6914" width="8.5" style="1740" customWidth="1"/>
    <col min="6915" max="6922" width="11.125" style="1740" customWidth="1"/>
    <col min="6923" max="6923" width="8.875" style="1740"/>
    <col min="6924" max="6924" width="15.25" style="1740" bestFit="1" customWidth="1"/>
    <col min="6925" max="7168" width="8.875" style="1740"/>
    <col min="7169" max="7169" width="1.625" style="1740" customWidth="1"/>
    <col min="7170" max="7170" width="8.5" style="1740" customWidth="1"/>
    <col min="7171" max="7178" width="11.125" style="1740" customWidth="1"/>
    <col min="7179" max="7179" width="8.875" style="1740"/>
    <col min="7180" max="7180" width="15.25" style="1740" bestFit="1" customWidth="1"/>
    <col min="7181" max="7424" width="8.875" style="1740"/>
    <col min="7425" max="7425" width="1.625" style="1740" customWidth="1"/>
    <col min="7426" max="7426" width="8.5" style="1740" customWidth="1"/>
    <col min="7427" max="7434" width="11.125" style="1740" customWidth="1"/>
    <col min="7435" max="7435" width="8.875" style="1740"/>
    <col min="7436" max="7436" width="15.25" style="1740" bestFit="1" customWidth="1"/>
    <col min="7437" max="7680" width="8.875" style="1740"/>
    <col min="7681" max="7681" width="1.625" style="1740" customWidth="1"/>
    <col min="7682" max="7682" width="8.5" style="1740" customWidth="1"/>
    <col min="7683" max="7690" width="11.125" style="1740" customWidth="1"/>
    <col min="7691" max="7691" width="8.875" style="1740"/>
    <col min="7692" max="7692" width="15.25" style="1740" bestFit="1" customWidth="1"/>
    <col min="7693" max="7936" width="8.875" style="1740"/>
    <col min="7937" max="7937" width="1.625" style="1740" customWidth="1"/>
    <col min="7938" max="7938" width="8.5" style="1740" customWidth="1"/>
    <col min="7939" max="7946" width="11.125" style="1740" customWidth="1"/>
    <col min="7947" max="7947" width="8.875" style="1740"/>
    <col min="7948" max="7948" width="15.25" style="1740" bestFit="1" customWidth="1"/>
    <col min="7949" max="8192" width="8.875" style="1740"/>
    <col min="8193" max="8193" width="1.625" style="1740" customWidth="1"/>
    <col min="8194" max="8194" width="8.5" style="1740" customWidth="1"/>
    <col min="8195" max="8202" width="11.125" style="1740" customWidth="1"/>
    <col min="8203" max="8203" width="8.875" style="1740"/>
    <col min="8204" max="8204" width="15.25" style="1740" bestFit="1" customWidth="1"/>
    <col min="8205" max="8448" width="8.875" style="1740"/>
    <col min="8449" max="8449" width="1.625" style="1740" customWidth="1"/>
    <col min="8450" max="8450" width="8.5" style="1740" customWidth="1"/>
    <col min="8451" max="8458" width="11.125" style="1740" customWidth="1"/>
    <col min="8459" max="8459" width="8.875" style="1740"/>
    <col min="8460" max="8460" width="15.25" style="1740" bestFit="1" customWidth="1"/>
    <col min="8461" max="8704" width="8.875" style="1740"/>
    <col min="8705" max="8705" width="1.625" style="1740" customWidth="1"/>
    <col min="8706" max="8706" width="8.5" style="1740" customWidth="1"/>
    <col min="8707" max="8714" width="11.125" style="1740" customWidth="1"/>
    <col min="8715" max="8715" width="8.875" style="1740"/>
    <col min="8716" max="8716" width="15.25" style="1740" bestFit="1" customWidth="1"/>
    <col min="8717" max="8960" width="8.875" style="1740"/>
    <col min="8961" max="8961" width="1.625" style="1740" customWidth="1"/>
    <col min="8962" max="8962" width="8.5" style="1740" customWidth="1"/>
    <col min="8963" max="8970" width="11.125" style="1740" customWidth="1"/>
    <col min="8971" max="8971" width="8.875" style="1740"/>
    <col min="8972" max="8972" width="15.25" style="1740" bestFit="1" customWidth="1"/>
    <col min="8973" max="9216" width="8.875" style="1740"/>
    <col min="9217" max="9217" width="1.625" style="1740" customWidth="1"/>
    <col min="9218" max="9218" width="8.5" style="1740" customWidth="1"/>
    <col min="9219" max="9226" width="11.125" style="1740" customWidth="1"/>
    <col min="9227" max="9227" width="8.875" style="1740"/>
    <col min="9228" max="9228" width="15.25" style="1740" bestFit="1" customWidth="1"/>
    <col min="9229" max="9472" width="8.875" style="1740"/>
    <col min="9473" max="9473" width="1.625" style="1740" customWidth="1"/>
    <col min="9474" max="9474" width="8.5" style="1740" customWidth="1"/>
    <col min="9475" max="9482" width="11.125" style="1740" customWidth="1"/>
    <col min="9483" max="9483" width="8.875" style="1740"/>
    <col min="9484" max="9484" width="15.25" style="1740" bestFit="1" customWidth="1"/>
    <col min="9485" max="9728" width="8.875" style="1740"/>
    <col min="9729" max="9729" width="1.625" style="1740" customWidth="1"/>
    <col min="9730" max="9730" width="8.5" style="1740" customWidth="1"/>
    <col min="9731" max="9738" width="11.125" style="1740" customWidth="1"/>
    <col min="9739" max="9739" width="8.875" style="1740"/>
    <col min="9740" max="9740" width="15.25" style="1740" bestFit="1" customWidth="1"/>
    <col min="9741" max="9984" width="8.875" style="1740"/>
    <col min="9985" max="9985" width="1.625" style="1740" customWidth="1"/>
    <col min="9986" max="9986" width="8.5" style="1740" customWidth="1"/>
    <col min="9987" max="9994" width="11.125" style="1740" customWidth="1"/>
    <col min="9995" max="9995" width="8.875" style="1740"/>
    <col min="9996" max="9996" width="15.25" style="1740" bestFit="1" customWidth="1"/>
    <col min="9997" max="10240" width="8.875" style="1740"/>
    <col min="10241" max="10241" width="1.625" style="1740" customWidth="1"/>
    <col min="10242" max="10242" width="8.5" style="1740" customWidth="1"/>
    <col min="10243" max="10250" width="11.125" style="1740" customWidth="1"/>
    <col min="10251" max="10251" width="8.875" style="1740"/>
    <col min="10252" max="10252" width="15.25" style="1740" bestFit="1" customWidth="1"/>
    <col min="10253" max="10496" width="8.875" style="1740"/>
    <col min="10497" max="10497" width="1.625" style="1740" customWidth="1"/>
    <col min="10498" max="10498" width="8.5" style="1740" customWidth="1"/>
    <col min="10499" max="10506" width="11.125" style="1740" customWidth="1"/>
    <col min="10507" max="10507" width="8.875" style="1740"/>
    <col min="10508" max="10508" width="15.25" style="1740" bestFit="1" customWidth="1"/>
    <col min="10509" max="10752" width="8.875" style="1740"/>
    <col min="10753" max="10753" width="1.625" style="1740" customWidth="1"/>
    <col min="10754" max="10754" width="8.5" style="1740" customWidth="1"/>
    <col min="10755" max="10762" width="11.125" style="1740" customWidth="1"/>
    <col min="10763" max="10763" width="8.875" style="1740"/>
    <col min="10764" max="10764" width="15.25" style="1740" bestFit="1" customWidth="1"/>
    <col min="10765" max="11008" width="8.875" style="1740"/>
    <col min="11009" max="11009" width="1.625" style="1740" customWidth="1"/>
    <col min="11010" max="11010" width="8.5" style="1740" customWidth="1"/>
    <col min="11011" max="11018" width="11.125" style="1740" customWidth="1"/>
    <col min="11019" max="11019" width="8.875" style="1740"/>
    <col min="11020" max="11020" width="15.25" style="1740" bestFit="1" customWidth="1"/>
    <col min="11021" max="11264" width="8.875" style="1740"/>
    <col min="11265" max="11265" width="1.625" style="1740" customWidth="1"/>
    <col min="11266" max="11266" width="8.5" style="1740" customWidth="1"/>
    <col min="11267" max="11274" width="11.125" style="1740" customWidth="1"/>
    <col min="11275" max="11275" width="8.875" style="1740"/>
    <col min="11276" max="11276" width="15.25" style="1740" bestFit="1" customWidth="1"/>
    <col min="11277" max="11520" width="8.875" style="1740"/>
    <col min="11521" max="11521" width="1.625" style="1740" customWidth="1"/>
    <col min="11522" max="11522" width="8.5" style="1740" customWidth="1"/>
    <col min="11523" max="11530" width="11.125" style="1740" customWidth="1"/>
    <col min="11531" max="11531" width="8.875" style="1740"/>
    <col min="11532" max="11532" width="15.25" style="1740" bestFit="1" customWidth="1"/>
    <col min="11533" max="11776" width="8.875" style="1740"/>
    <col min="11777" max="11777" width="1.625" style="1740" customWidth="1"/>
    <col min="11778" max="11778" width="8.5" style="1740" customWidth="1"/>
    <col min="11779" max="11786" width="11.125" style="1740" customWidth="1"/>
    <col min="11787" max="11787" width="8.875" style="1740"/>
    <col min="11788" max="11788" width="15.25" style="1740" bestFit="1" customWidth="1"/>
    <col min="11789" max="12032" width="8.875" style="1740"/>
    <col min="12033" max="12033" width="1.625" style="1740" customWidth="1"/>
    <col min="12034" max="12034" width="8.5" style="1740" customWidth="1"/>
    <col min="12035" max="12042" width="11.125" style="1740" customWidth="1"/>
    <col min="12043" max="12043" width="8.875" style="1740"/>
    <col min="12044" max="12044" width="15.25" style="1740" bestFit="1" customWidth="1"/>
    <col min="12045" max="12288" width="8.875" style="1740"/>
    <col min="12289" max="12289" width="1.625" style="1740" customWidth="1"/>
    <col min="12290" max="12290" width="8.5" style="1740" customWidth="1"/>
    <col min="12291" max="12298" width="11.125" style="1740" customWidth="1"/>
    <col min="12299" max="12299" width="8.875" style="1740"/>
    <col min="12300" max="12300" width="15.25" style="1740" bestFit="1" customWidth="1"/>
    <col min="12301" max="12544" width="8.875" style="1740"/>
    <col min="12545" max="12545" width="1.625" style="1740" customWidth="1"/>
    <col min="12546" max="12546" width="8.5" style="1740" customWidth="1"/>
    <col min="12547" max="12554" width="11.125" style="1740" customWidth="1"/>
    <col min="12555" max="12555" width="8.875" style="1740"/>
    <col min="12556" max="12556" width="15.25" style="1740" bestFit="1" customWidth="1"/>
    <col min="12557" max="12800" width="8.875" style="1740"/>
    <col min="12801" max="12801" width="1.625" style="1740" customWidth="1"/>
    <col min="12802" max="12802" width="8.5" style="1740" customWidth="1"/>
    <col min="12803" max="12810" width="11.125" style="1740" customWidth="1"/>
    <col min="12811" max="12811" width="8.875" style="1740"/>
    <col min="12812" max="12812" width="15.25" style="1740" bestFit="1" customWidth="1"/>
    <col min="12813" max="13056" width="8.875" style="1740"/>
    <col min="13057" max="13057" width="1.625" style="1740" customWidth="1"/>
    <col min="13058" max="13058" width="8.5" style="1740" customWidth="1"/>
    <col min="13059" max="13066" width="11.125" style="1740" customWidth="1"/>
    <col min="13067" max="13067" width="8.875" style="1740"/>
    <col min="13068" max="13068" width="15.25" style="1740" bestFit="1" customWidth="1"/>
    <col min="13069" max="13312" width="8.875" style="1740"/>
    <col min="13313" max="13313" width="1.625" style="1740" customWidth="1"/>
    <col min="13314" max="13314" width="8.5" style="1740" customWidth="1"/>
    <col min="13315" max="13322" width="11.125" style="1740" customWidth="1"/>
    <col min="13323" max="13323" width="8.875" style="1740"/>
    <col min="13324" max="13324" width="15.25" style="1740" bestFit="1" customWidth="1"/>
    <col min="13325" max="13568" width="8.875" style="1740"/>
    <col min="13569" max="13569" width="1.625" style="1740" customWidth="1"/>
    <col min="13570" max="13570" width="8.5" style="1740" customWidth="1"/>
    <col min="13571" max="13578" width="11.125" style="1740" customWidth="1"/>
    <col min="13579" max="13579" width="8.875" style="1740"/>
    <col min="13580" max="13580" width="15.25" style="1740" bestFit="1" customWidth="1"/>
    <col min="13581" max="13824" width="8.875" style="1740"/>
    <col min="13825" max="13825" width="1.625" style="1740" customWidth="1"/>
    <col min="13826" max="13826" width="8.5" style="1740" customWidth="1"/>
    <col min="13827" max="13834" width="11.125" style="1740" customWidth="1"/>
    <col min="13835" max="13835" width="8.875" style="1740"/>
    <col min="13836" max="13836" width="15.25" style="1740" bestFit="1" customWidth="1"/>
    <col min="13837" max="14080" width="8.875" style="1740"/>
    <col min="14081" max="14081" width="1.625" style="1740" customWidth="1"/>
    <col min="14082" max="14082" width="8.5" style="1740" customWidth="1"/>
    <col min="14083" max="14090" width="11.125" style="1740" customWidth="1"/>
    <col min="14091" max="14091" width="8.875" style="1740"/>
    <col min="14092" max="14092" width="15.25" style="1740" bestFit="1" customWidth="1"/>
    <col min="14093" max="14336" width="8.875" style="1740"/>
    <col min="14337" max="14337" width="1.625" style="1740" customWidth="1"/>
    <col min="14338" max="14338" width="8.5" style="1740" customWidth="1"/>
    <col min="14339" max="14346" width="11.125" style="1740" customWidth="1"/>
    <col min="14347" max="14347" width="8.875" style="1740"/>
    <col min="14348" max="14348" width="15.25" style="1740" bestFit="1" customWidth="1"/>
    <col min="14349" max="14592" width="8.875" style="1740"/>
    <col min="14593" max="14593" width="1.625" style="1740" customWidth="1"/>
    <col min="14594" max="14594" width="8.5" style="1740" customWidth="1"/>
    <col min="14595" max="14602" width="11.125" style="1740" customWidth="1"/>
    <col min="14603" max="14603" width="8.875" style="1740"/>
    <col min="14604" max="14604" width="15.25" style="1740" bestFit="1" customWidth="1"/>
    <col min="14605" max="14848" width="8.875" style="1740"/>
    <col min="14849" max="14849" width="1.625" style="1740" customWidth="1"/>
    <col min="14850" max="14850" width="8.5" style="1740" customWidth="1"/>
    <col min="14851" max="14858" width="11.125" style="1740" customWidth="1"/>
    <col min="14859" max="14859" width="8.875" style="1740"/>
    <col min="14860" max="14860" width="15.25" style="1740" bestFit="1" customWidth="1"/>
    <col min="14861" max="15104" width="8.875" style="1740"/>
    <col min="15105" max="15105" width="1.625" style="1740" customWidth="1"/>
    <col min="15106" max="15106" width="8.5" style="1740" customWidth="1"/>
    <col min="15107" max="15114" width="11.125" style="1740" customWidth="1"/>
    <col min="15115" max="15115" width="8.875" style="1740"/>
    <col min="15116" max="15116" width="15.25" style="1740" bestFit="1" customWidth="1"/>
    <col min="15117" max="15360" width="8.875" style="1740"/>
    <col min="15361" max="15361" width="1.625" style="1740" customWidth="1"/>
    <col min="15362" max="15362" width="8.5" style="1740" customWidth="1"/>
    <col min="15363" max="15370" width="11.125" style="1740" customWidth="1"/>
    <col min="15371" max="15371" width="8.875" style="1740"/>
    <col min="15372" max="15372" width="15.25" style="1740" bestFit="1" customWidth="1"/>
    <col min="15373" max="15616" width="8.875" style="1740"/>
    <col min="15617" max="15617" width="1.625" style="1740" customWidth="1"/>
    <col min="15618" max="15618" width="8.5" style="1740" customWidth="1"/>
    <col min="15619" max="15626" width="11.125" style="1740" customWidth="1"/>
    <col min="15627" max="15627" width="8.875" style="1740"/>
    <col min="15628" max="15628" width="15.25" style="1740" bestFit="1" customWidth="1"/>
    <col min="15629" max="15872" width="8.875" style="1740"/>
    <col min="15873" max="15873" width="1.625" style="1740" customWidth="1"/>
    <col min="15874" max="15874" width="8.5" style="1740" customWidth="1"/>
    <col min="15875" max="15882" width="11.125" style="1740" customWidth="1"/>
    <col min="15883" max="15883" width="8.875" style="1740"/>
    <col min="15884" max="15884" width="15.25" style="1740" bestFit="1" customWidth="1"/>
    <col min="15885" max="16128" width="8.875" style="1740"/>
    <col min="16129" max="16129" width="1.625" style="1740" customWidth="1"/>
    <col min="16130" max="16130" width="8.5" style="1740" customWidth="1"/>
    <col min="16131" max="16138" width="11.125" style="1740" customWidth="1"/>
    <col min="16139" max="16139" width="8.875" style="1740"/>
    <col min="16140" max="16140" width="15.25" style="1740" bestFit="1" customWidth="1"/>
    <col min="16141" max="16384" width="8.875" style="1740"/>
  </cols>
  <sheetData>
    <row r="2" spans="1:28" s="929" customFormat="1" ht="27" customHeight="1">
      <c r="A2" s="1757"/>
      <c r="B2" s="2115" t="s">
        <v>1449</v>
      </c>
      <c r="C2" s="1757"/>
      <c r="D2" s="1757"/>
      <c r="E2" s="1757"/>
      <c r="F2" s="1757"/>
      <c r="G2" s="1757"/>
      <c r="H2" s="1757"/>
      <c r="I2" s="1757"/>
      <c r="J2" s="1757"/>
      <c r="K2" s="1757"/>
      <c r="L2" s="1757"/>
      <c r="M2" s="1757"/>
      <c r="N2" s="1757"/>
      <c r="O2" s="1757"/>
      <c r="P2" s="1757"/>
      <c r="Q2" s="1758"/>
      <c r="R2" s="1757"/>
      <c r="S2" s="1757"/>
      <c r="T2" s="1757"/>
      <c r="U2" s="1757"/>
    </row>
    <row r="3" spans="1:28" ht="15" customHeight="1">
      <c r="B3" s="1741"/>
      <c r="C3" s="1741"/>
      <c r="D3" s="1741"/>
      <c r="E3" s="1741"/>
      <c r="F3" s="1741"/>
      <c r="G3" s="1741"/>
      <c r="H3" s="1741"/>
      <c r="I3" s="1741"/>
      <c r="J3" s="1742"/>
    </row>
    <row r="4" spans="1:28" ht="19.5" customHeight="1">
      <c r="B4" s="1740" t="s">
        <v>386</v>
      </c>
      <c r="J4" s="1742"/>
    </row>
    <row r="5" spans="1:28" ht="5.0999999999999996" customHeight="1">
      <c r="B5" s="1743"/>
      <c r="C5" s="1743"/>
      <c r="D5" s="1743"/>
      <c r="E5" s="1743"/>
      <c r="F5" s="1743"/>
      <c r="G5" s="1743"/>
      <c r="H5" s="1743"/>
      <c r="I5" s="1743"/>
      <c r="J5" s="1743"/>
    </row>
    <row r="6" spans="1:28" ht="20.100000000000001" customHeight="1">
      <c r="A6" s="1744"/>
      <c r="B6" s="1745" t="s">
        <v>33</v>
      </c>
      <c r="C6" s="2972" t="s">
        <v>387</v>
      </c>
      <c r="D6" s="2972"/>
      <c r="E6" s="2972"/>
      <c r="F6" s="2972"/>
      <c r="G6" s="2972"/>
      <c r="H6" s="2972"/>
      <c r="I6" s="2972" t="s">
        <v>228</v>
      </c>
      <c r="J6" s="2973"/>
      <c r="L6" s="1745" t="s">
        <v>33</v>
      </c>
      <c r="M6" s="2972" t="s">
        <v>387</v>
      </c>
      <c r="N6" s="2972"/>
      <c r="O6" s="2972"/>
      <c r="P6" s="2972"/>
      <c r="Q6" s="2972"/>
      <c r="R6" s="2972"/>
      <c r="S6" s="2972" t="s">
        <v>228</v>
      </c>
      <c r="T6" s="2973"/>
    </row>
    <row r="7" spans="1:28" ht="16.5" customHeight="1">
      <c r="B7" s="1746" t="s">
        <v>388</v>
      </c>
      <c r="C7" s="2974" t="s">
        <v>2001</v>
      </c>
      <c r="D7" s="2974"/>
      <c r="E7" s="2974"/>
      <c r="F7" s="2974"/>
      <c r="G7" s="2974"/>
      <c r="H7" s="2974"/>
      <c r="I7" s="2964"/>
      <c r="J7" s="2965"/>
      <c r="L7" s="1746" t="s">
        <v>388</v>
      </c>
      <c r="M7" s="2974" t="s">
        <v>2002</v>
      </c>
      <c r="N7" s="2974"/>
      <c r="O7" s="2974"/>
      <c r="P7" s="2974"/>
      <c r="Q7" s="2974"/>
      <c r="R7" s="2974"/>
      <c r="S7" s="2964"/>
      <c r="T7" s="2965"/>
      <c r="W7" s="1747"/>
    </row>
    <row r="8" spans="1:28" ht="36.75" customHeight="1">
      <c r="B8" s="1746" t="s">
        <v>2003</v>
      </c>
      <c r="C8" s="2959" t="s">
        <v>2004</v>
      </c>
      <c r="D8" s="2960"/>
      <c r="E8" s="2960"/>
      <c r="F8" s="2960"/>
      <c r="G8" s="2960"/>
      <c r="H8" s="2960"/>
      <c r="I8" s="2961" t="s">
        <v>1144</v>
      </c>
      <c r="J8" s="2962"/>
      <c r="K8" s="1747"/>
      <c r="L8" s="1746" t="s">
        <v>2003</v>
      </c>
      <c r="M8" s="2959" t="s">
        <v>2005</v>
      </c>
      <c r="N8" s="2960"/>
      <c r="O8" s="2960"/>
      <c r="P8" s="2960"/>
      <c r="Q8" s="2960"/>
      <c r="R8" s="2960"/>
      <c r="S8" s="2961" t="s">
        <v>1144</v>
      </c>
      <c r="T8" s="2962"/>
    </row>
    <row r="9" spans="1:28">
      <c r="B9" s="1746" t="s">
        <v>389</v>
      </c>
      <c r="C9" s="2963">
        <v>1417345</v>
      </c>
      <c r="D9" s="2963"/>
      <c r="E9" s="2963"/>
      <c r="F9" s="2963"/>
      <c r="G9" s="2963"/>
      <c r="H9" s="2963"/>
      <c r="I9" s="2964" t="s">
        <v>390</v>
      </c>
      <c r="J9" s="2965"/>
      <c r="L9" s="1746" t="s">
        <v>389</v>
      </c>
      <c r="M9" s="2963">
        <v>1425149</v>
      </c>
      <c r="N9" s="2963"/>
      <c r="O9" s="2963"/>
      <c r="P9" s="2963"/>
      <c r="Q9" s="2963"/>
      <c r="R9" s="2963"/>
      <c r="S9" s="2964" t="s">
        <v>390</v>
      </c>
      <c r="T9" s="2965"/>
    </row>
    <row r="10" spans="1:28">
      <c r="B10" s="1748" t="s">
        <v>391</v>
      </c>
      <c r="C10" s="2966" t="s">
        <v>2006</v>
      </c>
      <c r="D10" s="2966"/>
      <c r="E10" s="2966"/>
      <c r="F10" s="2966"/>
      <c r="G10" s="2966"/>
      <c r="H10" s="2966"/>
      <c r="I10" s="2967" t="s">
        <v>2007</v>
      </c>
      <c r="J10" s="2968"/>
      <c r="K10" s="1747"/>
      <c r="L10" s="1748" t="s">
        <v>391</v>
      </c>
      <c r="M10" s="2966" t="s">
        <v>2008</v>
      </c>
      <c r="N10" s="2966"/>
      <c r="O10" s="2966"/>
      <c r="P10" s="2966"/>
      <c r="Q10" s="2966"/>
      <c r="R10" s="2966"/>
      <c r="S10" s="2967" t="s">
        <v>2007</v>
      </c>
      <c r="T10" s="2968"/>
    </row>
    <row r="11" spans="1:28" s="1749" customFormat="1" ht="5.0999999999999996" customHeight="1">
      <c r="B11" s="1750"/>
      <c r="C11" s="1750"/>
      <c r="D11" s="1750"/>
      <c r="E11" s="1750"/>
      <c r="F11" s="1750"/>
      <c r="G11" s="1750"/>
      <c r="H11" s="1750"/>
      <c r="I11" s="1750"/>
      <c r="J11" s="1750"/>
      <c r="L11" s="1750"/>
      <c r="M11" s="1750"/>
      <c r="N11" s="1750"/>
      <c r="O11" s="1750"/>
      <c r="P11" s="1750"/>
      <c r="Q11" s="1750"/>
      <c r="R11" s="1750"/>
      <c r="S11" s="1750"/>
      <c r="T11" s="1750"/>
      <c r="Z11" s="1740"/>
      <c r="AA11" s="1740"/>
      <c r="AB11" s="1740"/>
    </row>
    <row r="12" spans="1:28">
      <c r="B12" s="2949" t="s">
        <v>392</v>
      </c>
      <c r="C12" s="2951" t="s">
        <v>491</v>
      </c>
      <c r="D12" s="2952"/>
      <c r="E12" s="2952"/>
      <c r="F12" s="2952"/>
      <c r="G12" s="2952"/>
      <c r="H12" s="2952"/>
      <c r="I12" s="2952"/>
      <c r="J12" s="2953"/>
      <c r="L12" s="2949" t="s">
        <v>392</v>
      </c>
      <c r="M12" s="2951" t="s">
        <v>491</v>
      </c>
      <c r="N12" s="2952"/>
      <c r="O12" s="2952"/>
      <c r="P12" s="2952"/>
      <c r="Q12" s="2952"/>
      <c r="R12" s="2952"/>
      <c r="S12" s="2952"/>
      <c r="T12" s="2953"/>
      <c r="Y12" s="1749"/>
    </row>
    <row r="13" spans="1:28" ht="153" customHeight="1">
      <c r="B13" s="2950"/>
      <c r="C13" s="2954"/>
      <c r="D13" s="2955"/>
      <c r="E13" s="2956"/>
      <c r="F13" s="2957"/>
      <c r="G13" s="2954"/>
      <c r="H13" s="2955"/>
      <c r="I13" s="2956"/>
      <c r="J13" s="2958"/>
      <c r="K13" s="1751"/>
      <c r="L13" s="2950"/>
      <c r="M13" s="2954"/>
      <c r="N13" s="2955"/>
      <c r="O13" s="2956"/>
      <c r="P13" s="2957"/>
      <c r="Q13" s="2954"/>
      <c r="R13" s="2955"/>
      <c r="S13" s="2956"/>
      <c r="T13" s="2958"/>
    </row>
    <row r="14" spans="1:28" s="1749" customFormat="1" ht="13.5" customHeight="1">
      <c r="B14" s="1752"/>
      <c r="C14" s="1752"/>
      <c r="D14" s="1752"/>
      <c r="E14" s="1752"/>
      <c r="F14" s="1752"/>
      <c r="G14" s="1752"/>
      <c r="H14" s="1752"/>
      <c r="I14" s="1752"/>
      <c r="J14" s="1752"/>
    </row>
    <row r="15" spans="1:28" ht="20.100000000000001" customHeight="1">
      <c r="A15" s="1744"/>
      <c r="B15" s="1745" t="s">
        <v>33</v>
      </c>
      <c r="C15" s="2972" t="s">
        <v>387</v>
      </c>
      <c r="D15" s="2972"/>
      <c r="E15" s="2972"/>
      <c r="F15" s="2972"/>
      <c r="G15" s="2972"/>
      <c r="H15" s="2972"/>
      <c r="I15" s="2972" t="s">
        <v>228</v>
      </c>
      <c r="J15" s="2973"/>
      <c r="L15" s="1745" t="s">
        <v>33</v>
      </c>
      <c r="M15" s="2972" t="s">
        <v>387</v>
      </c>
      <c r="N15" s="2972"/>
      <c r="O15" s="2972"/>
      <c r="P15" s="2972"/>
      <c r="Q15" s="2972"/>
      <c r="R15" s="2972"/>
      <c r="S15" s="2972" t="s">
        <v>228</v>
      </c>
      <c r="T15" s="2973"/>
    </row>
    <row r="16" spans="1:28" ht="16.5" customHeight="1">
      <c r="B16" s="1746" t="s">
        <v>388</v>
      </c>
      <c r="C16" s="2974" t="s">
        <v>2009</v>
      </c>
      <c r="D16" s="2974"/>
      <c r="E16" s="2974"/>
      <c r="F16" s="2974"/>
      <c r="G16" s="2974"/>
      <c r="H16" s="2974"/>
      <c r="I16" s="2964"/>
      <c r="J16" s="2965"/>
      <c r="L16" s="1746" t="s">
        <v>388</v>
      </c>
      <c r="M16" s="2975" t="s">
        <v>2010</v>
      </c>
      <c r="N16" s="2976"/>
      <c r="O16" s="2976"/>
      <c r="P16" s="2976"/>
      <c r="Q16" s="2976"/>
      <c r="R16" s="2977"/>
      <c r="S16" s="2964"/>
      <c r="T16" s="2965"/>
    </row>
    <row r="17" spans="1:27" ht="38.25" customHeight="1">
      <c r="B17" s="1746" t="s">
        <v>2003</v>
      </c>
      <c r="C17" s="2959" t="s">
        <v>2011</v>
      </c>
      <c r="D17" s="2960"/>
      <c r="E17" s="2960"/>
      <c r="F17" s="2960"/>
      <c r="G17" s="2960"/>
      <c r="H17" s="2960"/>
      <c r="I17" s="2961" t="s">
        <v>1144</v>
      </c>
      <c r="J17" s="2962"/>
      <c r="K17" s="1747"/>
      <c r="L17" s="1746" t="s">
        <v>2003</v>
      </c>
      <c r="M17" s="2978" t="s">
        <v>2012</v>
      </c>
      <c r="N17" s="2979"/>
      <c r="O17" s="2979"/>
      <c r="P17" s="2979"/>
      <c r="Q17" s="2979"/>
      <c r="R17" s="2979"/>
      <c r="S17" s="2961" t="s">
        <v>2013</v>
      </c>
      <c r="T17" s="2962"/>
    </row>
    <row r="18" spans="1:27">
      <c r="B18" s="1746" t="s">
        <v>389</v>
      </c>
      <c r="C18" s="2963">
        <v>424900</v>
      </c>
      <c r="D18" s="2963"/>
      <c r="E18" s="2963"/>
      <c r="F18" s="2963"/>
      <c r="G18" s="2963"/>
      <c r="H18" s="2963"/>
      <c r="I18" s="2964" t="s">
        <v>390</v>
      </c>
      <c r="J18" s="2965"/>
      <c r="L18" s="1746" t="s">
        <v>389</v>
      </c>
      <c r="M18" s="2980">
        <v>376340</v>
      </c>
      <c r="N18" s="2980"/>
      <c r="O18" s="2980"/>
      <c r="P18" s="2980"/>
      <c r="Q18" s="2980"/>
      <c r="R18" s="2980"/>
      <c r="S18" s="2964" t="s">
        <v>390</v>
      </c>
      <c r="T18" s="2965"/>
      <c r="V18" s="2969"/>
      <c r="W18" s="2970"/>
      <c r="X18" s="2970"/>
      <c r="Y18" s="2970"/>
      <c r="Z18" s="2970"/>
      <c r="AA18" s="2971"/>
    </row>
    <row r="19" spans="1:27">
      <c r="B19" s="1748" t="s">
        <v>391</v>
      </c>
      <c r="C19" s="2966" t="s">
        <v>2014</v>
      </c>
      <c r="D19" s="2966"/>
      <c r="E19" s="2966"/>
      <c r="F19" s="2966"/>
      <c r="G19" s="2966"/>
      <c r="H19" s="2966"/>
      <c r="I19" s="2967"/>
      <c r="J19" s="2968"/>
      <c r="K19" s="1747"/>
      <c r="L19" s="1746" t="s">
        <v>391</v>
      </c>
      <c r="M19" s="2981" t="s">
        <v>2015</v>
      </c>
      <c r="N19" s="2981"/>
      <c r="O19" s="2981"/>
      <c r="P19" s="2981"/>
      <c r="Q19" s="2981"/>
      <c r="R19" s="2981"/>
      <c r="S19" s="2964"/>
      <c r="T19" s="2965"/>
    </row>
    <row r="20" spans="1:27" s="1749" customFormat="1" ht="5.0999999999999996" customHeight="1">
      <c r="B20" s="1750"/>
      <c r="C20" s="1750"/>
      <c r="D20" s="1750"/>
      <c r="E20" s="1750"/>
      <c r="F20" s="1750"/>
      <c r="G20" s="1750"/>
      <c r="H20" s="1750"/>
      <c r="I20" s="1750"/>
      <c r="J20" s="1750"/>
      <c r="L20" s="1753"/>
      <c r="M20" s="1754"/>
      <c r="N20" s="1754"/>
      <c r="O20" s="1754"/>
      <c r="P20" s="1754"/>
      <c r="Q20" s="1754"/>
      <c r="R20" s="1754"/>
      <c r="S20" s="1754"/>
      <c r="T20" s="1755"/>
    </row>
    <row r="21" spans="1:27">
      <c r="B21" s="2949" t="s">
        <v>392</v>
      </c>
      <c r="C21" s="2951" t="s">
        <v>491</v>
      </c>
      <c r="D21" s="2952"/>
      <c r="E21" s="2952"/>
      <c r="F21" s="2952"/>
      <c r="G21" s="2952"/>
      <c r="H21" s="2952"/>
      <c r="I21" s="2952"/>
      <c r="J21" s="2953"/>
      <c r="L21" s="2949" t="s">
        <v>392</v>
      </c>
      <c r="M21" s="2951" t="s">
        <v>491</v>
      </c>
      <c r="N21" s="2952"/>
      <c r="O21" s="2952"/>
      <c r="P21" s="2952"/>
      <c r="Q21" s="2952"/>
      <c r="R21" s="2952"/>
      <c r="S21" s="2952"/>
      <c r="T21" s="2953"/>
    </row>
    <row r="22" spans="1:27" ht="153" customHeight="1">
      <c r="B22" s="2950"/>
      <c r="C22" s="2954"/>
      <c r="D22" s="2955"/>
      <c r="E22" s="2956"/>
      <c r="F22" s="2957"/>
      <c r="G22" s="2954"/>
      <c r="H22" s="2955"/>
      <c r="I22" s="2956"/>
      <c r="J22" s="2958"/>
      <c r="K22" s="1751"/>
      <c r="L22" s="2950"/>
      <c r="M22" s="2954"/>
      <c r="N22" s="2955"/>
      <c r="O22" s="2956"/>
      <c r="P22" s="2957"/>
      <c r="Q22" s="2954"/>
      <c r="R22" s="2955"/>
      <c r="S22" s="2956"/>
      <c r="T22" s="2958"/>
      <c r="X22" s="1747"/>
    </row>
    <row r="23" spans="1:27" s="1749" customFormat="1" ht="13.5" customHeight="1">
      <c r="B23" s="1752"/>
      <c r="C23" s="1752"/>
      <c r="D23" s="1752"/>
      <c r="E23" s="1752"/>
      <c r="F23" s="1752"/>
      <c r="G23" s="1752"/>
      <c r="H23" s="1752"/>
      <c r="I23" s="1752"/>
      <c r="J23" s="1752"/>
    </row>
    <row r="24" spans="1:27" ht="20.100000000000001" customHeight="1">
      <c r="A24" s="1744"/>
      <c r="B24" s="1745" t="s">
        <v>33</v>
      </c>
      <c r="C24" s="2972" t="s">
        <v>387</v>
      </c>
      <c r="D24" s="2972"/>
      <c r="E24" s="2972"/>
      <c r="F24" s="2972"/>
      <c r="G24" s="2972"/>
      <c r="H24" s="2972"/>
      <c r="I24" s="2972" t="s">
        <v>228</v>
      </c>
      <c r="J24" s="2973"/>
      <c r="L24" s="1745" t="s">
        <v>33</v>
      </c>
      <c r="M24" s="2972" t="s">
        <v>387</v>
      </c>
      <c r="N24" s="2972"/>
      <c r="O24" s="2972"/>
      <c r="P24" s="2972"/>
      <c r="Q24" s="2972"/>
      <c r="R24" s="2972"/>
      <c r="S24" s="2972" t="s">
        <v>228</v>
      </c>
      <c r="T24" s="2973"/>
    </row>
    <row r="25" spans="1:27" ht="16.5" customHeight="1">
      <c r="B25" s="1746" t="s">
        <v>388</v>
      </c>
      <c r="C25" s="2974" t="s">
        <v>2016</v>
      </c>
      <c r="D25" s="2974"/>
      <c r="E25" s="2974"/>
      <c r="F25" s="2974"/>
      <c r="G25" s="2974"/>
      <c r="H25" s="2974"/>
      <c r="I25" s="2964"/>
      <c r="J25" s="2965"/>
      <c r="L25" s="1746" t="s">
        <v>388</v>
      </c>
      <c r="M25" s="2974" t="s">
        <v>2017</v>
      </c>
      <c r="N25" s="2974"/>
      <c r="O25" s="2974"/>
      <c r="P25" s="2974"/>
      <c r="Q25" s="2974"/>
      <c r="R25" s="2974"/>
      <c r="S25" s="2964"/>
      <c r="T25" s="2965"/>
    </row>
    <row r="26" spans="1:27" ht="36.75" customHeight="1">
      <c r="B26" s="1746" t="s">
        <v>2003</v>
      </c>
      <c r="C26" s="2959" t="s">
        <v>2018</v>
      </c>
      <c r="D26" s="2960"/>
      <c r="E26" s="2960"/>
      <c r="F26" s="2960"/>
      <c r="G26" s="2960"/>
      <c r="H26" s="2960"/>
      <c r="I26" s="2961" t="s">
        <v>2019</v>
      </c>
      <c r="J26" s="2962"/>
      <c r="K26" s="1747"/>
      <c r="L26" s="1746" t="s">
        <v>2003</v>
      </c>
      <c r="M26" s="2974" t="s">
        <v>2020</v>
      </c>
      <c r="N26" s="2974"/>
      <c r="O26" s="2974"/>
      <c r="P26" s="2974"/>
      <c r="Q26" s="2974"/>
      <c r="R26" s="2974"/>
      <c r="S26" s="2961" t="s">
        <v>1144</v>
      </c>
      <c r="T26" s="2962"/>
    </row>
    <row r="27" spans="1:27" ht="16.5" customHeight="1">
      <c r="B27" s="1746" t="s">
        <v>389</v>
      </c>
      <c r="C27" s="2980">
        <v>667700</v>
      </c>
      <c r="D27" s="2980"/>
      <c r="E27" s="2980"/>
      <c r="F27" s="2980"/>
      <c r="G27" s="2980"/>
      <c r="H27" s="2980"/>
      <c r="I27" s="2964" t="s">
        <v>390</v>
      </c>
      <c r="J27" s="2965"/>
      <c r="L27" s="1746" t="s">
        <v>389</v>
      </c>
      <c r="M27" s="2963">
        <v>1756546</v>
      </c>
      <c r="N27" s="2963"/>
      <c r="O27" s="2963"/>
      <c r="P27" s="2963"/>
      <c r="Q27" s="2963"/>
      <c r="R27" s="2963"/>
      <c r="S27" s="2964" t="s">
        <v>390</v>
      </c>
      <c r="T27" s="2965"/>
    </row>
    <row r="28" spans="1:27" ht="17.45" customHeight="1">
      <c r="B28" s="1748" t="s">
        <v>391</v>
      </c>
      <c r="C28" s="2982" t="s">
        <v>2021</v>
      </c>
      <c r="D28" s="2982"/>
      <c r="E28" s="2982"/>
      <c r="F28" s="2982"/>
      <c r="G28" s="2982"/>
      <c r="H28" s="2982"/>
      <c r="I28" s="2967"/>
      <c r="J28" s="2968"/>
      <c r="K28" s="1747"/>
      <c r="L28" s="1748" t="s">
        <v>391</v>
      </c>
      <c r="M28" s="2982" t="s">
        <v>2022</v>
      </c>
      <c r="N28" s="2982"/>
      <c r="O28" s="2982"/>
      <c r="P28" s="2982"/>
      <c r="Q28" s="2982"/>
      <c r="R28" s="2982"/>
      <c r="S28" s="2967"/>
      <c r="T28" s="2968"/>
    </row>
    <row r="29" spans="1:27" s="1749" customFormat="1" ht="5.0999999999999996" customHeight="1">
      <c r="B29" s="1750"/>
      <c r="C29" s="1750"/>
      <c r="D29" s="1750"/>
      <c r="E29" s="1750"/>
      <c r="F29" s="1750"/>
      <c r="G29" s="1750"/>
      <c r="H29" s="1750"/>
      <c r="I29" s="1750"/>
      <c r="J29" s="1750"/>
      <c r="L29" s="1750"/>
      <c r="M29" s="1750"/>
      <c r="N29" s="1750"/>
      <c r="O29" s="1750"/>
      <c r="P29" s="1750"/>
      <c r="Q29" s="1750"/>
      <c r="R29" s="1750"/>
      <c r="S29" s="1750"/>
      <c r="T29" s="1750"/>
    </row>
    <row r="30" spans="1:27">
      <c r="B30" s="2949" t="s">
        <v>392</v>
      </c>
      <c r="C30" s="2951" t="s">
        <v>491</v>
      </c>
      <c r="D30" s="2952"/>
      <c r="E30" s="2952"/>
      <c r="F30" s="2952"/>
      <c r="G30" s="2952"/>
      <c r="H30" s="2952"/>
      <c r="I30" s="2952"/>
      <c r="J30" s="2953"/>
      <c r="L30" s="2949" t="s">
        <v>392</v>
      </c>
      <c r="M30" s="2951" t="s">
        <v>491</v>
      </c>
      <c r="N30" s="2952"/>
      <c r="O30" s="2952"/>
      <c r="P30" s="2952"/>
      <c r="Q30" s="2952"/>
      <c r="R30" s="2952"/>
      <c r="S30" s="2952"/>
      <c r="T30" s="2953"/>
    </row>
    <row r="31" spans="1:27" ht="153" customHeight="1">
      <c r="B31" s="2950"/>
      <c r="C31" s="2954"/>
      <c r="D31" s="2955"/>
      <c r="E31" s="2956"/>
      <c r="F31" s="2957"/>
      <c r="G31" s="2954"/>
      <c r="H31" s="2955"/>
      <c r="I31" s="2956"/>
      <c r="J31" s="2958"/>
      <c r="K31" s="1751"/>
      <c r="L31" s="2950"/>
      <c r="M31" s="2954"/>
      <c r="N31" s="2955"/>
      <c r="O31" s="2956"/>
      <c r="P31" s="2957"/>
      <c r="Q31" s="2954"/>
      <c r="R31" s="2955"/>
      <c r="S31" s="2956"/>
      <c r="T31" s="2958"/>
      <c r="X31" s="1747"/>
    </row>
    <row r="32" spans="1:27" s="1749" customFormat="1" ht="13.5" customHeight="1">
      <c r="B32" s="1752"/>
      <c r="C32" s="1752"/>
      <c r="D32" s="1752"/>
      <c r="E32" s="1752"/>
      <c r="F32" s="1752"/>
      <c r="G32" s="1752"/>
      <c r="H32" s="1752"/>
      <c r="I32" s="1752"/>
      <c r="J32" s="1752"/>
    </row>
    <row r="33" spans="1:24" ht="20.100000000000001" customHeight="1">
      <c r="A33" s="1744"/>
      <c r="B33" s="1756" t="s">
        <v>33</v>
      </c>
      <c r="C33" s="2991" t="s">
        <v>387</v>
      </c>
      <c r="D33" s="2991"/>
      <c r="E33" s="2991"/>
      <c r="F33" s="2991"/>
      <c r="G33" s="2991"/>
      <c r="H33" s="2991"/>
      <c r="I33" s="2991" t="s">
        <v>228</v>
      </c>
      <c r="J33" s="2992"/>
      <c r="L33" s="1756" t="s">
        <v>33</v>
      </c>
      <c r="M33" s="2993" t="s">
        <v>387</v>
      </c>
      <c r="N33" s="2993"/>
      <c r="O33" s="2993"/>
      <c r="P33" s="2993"/>
      <c r="Q33" s="2993"/>
      <c r="R33" s="2993"/>
      <c r="S33" s="2991" t="s">
        <v>228</v>
      </c>
      <c r="T33" s="2992"/>
    </row>
    <row r="34" spans="1:24" ht="16.5" customHeight="1">
      <c r="B34" s="1746" t="s">
        <v>388</v>
      </c>
      <c r="C34" s="2974"/>
      <c r="D34" s="2974"/>
      <c r="E34" s="2974"/>
      <c r="F34" s="2974"/>
      <c r="G34" s="2974"/>
      <c r="H34" s="2974"/>
      <c r="I34" s="2964"/>
      <c r="J34" s="2965"/>
      <c r="L34" s="1746" t="s">
        <v>388</v>
      </c>
      <c r="M34" s="2983"/>
      <c r="N34" s="2984"/>
      <c r="O34" s="2984"/>
      <c r="P34" s="2984"/>
      <c r="Q34" s="2984"/>
      <c r="R34" s="2985"/>
      <c r="S34" s="2986"/>
      <c r="T34" s="2987"/>
    </row>
    <row r="35" spans="1:24" ht="36.75" customHeight="1">
      <c r="B35" s="1746" t="s">
        <v>468</v>
      </c>
      <c r="C35" s="2974"/>
      <c r="D35" s="2974"/>
      <c r="E35" s="2974"/>
      <c r="F35" s="2974"/>
      <c r="G35" s="2974"/>
      <c r="H35" s="2974"/>
      <c r="I35" s="2961"/>
      <c r="J35" s="2962"/>
      <c r="K35" s="1747"/>
      <c r="L35" s="1746" t="s">
        <v>468</v>
      </c>
      <c r="M35" s="2988"/>
      <c r="N35" s="2984"/>
      <c r="O35" s="2984"/>
      <c r="P35" s="2984"/>
      <c r="Q35" s="2984"/>
      <c r="R35" s="2985"/>
      <c r="S35" s="2989"/>
      <c r="T35" s="2990"/>
    </row>
    <row r="36" spans="1:24">
      <c r="B36" s="1746" t="s">
        <v>389</v>
      </c>
      <c r="C36" s="2980"/>
      <c r="D36" s="2980"/>
      <c r="E36" s="2980"/>
      <c r="F36" s="2980"/>
      <c r="G36" s="2980"/>
      <c r="H36" s="2980"/>
      <c r="I36" s="2964" t="s">
        <v>390</v>
      </c>
      <c r="J36" s="2965"/>
      <c r="L36" s="1746" t="s">
        <v>389</v>
      </c>
      <c r="M36" s="2969"/>
      <c r="N36" s="2970"/>
      <c r="O36" s="2970"/>
      <c r="P36" s="2970"/>
      <c r="Q36" s="2970"/>
      <c r="R36" s="2971"/>
      <c r="S36" s="2986" t="s">
        <v>390</v>
      </c>
      <c r="T36" s="2987"/>
    </row>
    <row r="37" spans="1:24">
      <c r="B37" s="1748" t="s">
        <v>391</v>
      </c>
      <c r="C37" s="2982"/>
      <c r="D37" s="2982"/>
      <c r="E37" s="2982"/>
      <c r="F37" s="2982"/>
      <c r="G37" s="2982"/>
      <c r="H37" s="2982"/>
      <c r="I37" s="2967"/>
      <c r="J37" s="2968"/>
      <c r="K37" s="1747"/>
      <c r="L37" s="1748" t="s">
        <v>391</v>
      </c>
      <c r="M37" s="2994"/>
      <c r="N37" s="2995"/>
      <c r="O37" s="2995"/>
      <c r="P37" s="2995"/>
      <c r="Q37" s="2995"/>
      <c r="R37" s="2996"/>
      <c r="S37" s="2954"/>
      <c r="T37" s="2997"/>
    </row>
    <row r="38" spans="1:24" s="1749" customFormat="1" ht="5.0999999999999996" customHeight="1">
      <c r="B38" s="1750"/>
      <c r="C38" s="1750"/>
      <c r="D38" s="1750"/>
      <c r="E38" s="1750"/>
      <c r="F38" s="1750"/>
      <c r="G38" s="1750"/>
      <c r="H38" s="1750"/>
      <c r="I38" s="1750"/>
      <c r="J38" s="1750"/>
      <c r="L38" s="1750"/>
      <c r="M38" s="1750"/>
      <c r="N38" s="1750"/>
      <c r="O38" s="1750"/>
      <c r="P38" s="1750"/>
      <c r="Q38" s="1750"/>
      <c r="R38" s="1750"/>
      <c r="S38" s="1750"/>
      <c r="T38" s="1750"/>
    </row>
    <row r="39" spans="1:24">
      <c r="B39" s="2949" t="s">
        <v>392</v>
      </c>
      <c r="C39" s="2951"/>
      <c r="D39" s="2952"/>
      <c r="E39" s="2952"/>
      <c r="F39" s="2952"/>
      <c r="G39" s="2952"/>
      <c r="H39" s="2952"/>
      <c r="I39" s="2952"/>
      <c r="J39" s="2953"/>
      <c r="L39" s="2949" t="s">
        <v>392</v>
      </c>
      <c r="M39" s="2951" t="s">
        <v>491</v>
      </c>
      <c r="N39" s="2952"/>
      <c r="O39" s="2952"/>
      <c r="P39" s="2952"/>
      <c r="Q39" s="2952"/>
      <c r="R39" s="2952"/>
      <c r="S39" s="2952"/>
      <c r="T39" s="2953"/>
    </row>
    <row r="40" spans="1:24" ht="153" customHeight="1">
      <c r="B40" s="2950"/>
      <c r="C40" s="2954"/>
      <c r="D40" s="2955"/>
      <c r="E40" s="2956"/>
      <c r="F40" s="2957"/>
      <c r="G40" s="2954"/>
      <c r="H40" s="2955"/>
      <c r="I40" s="2956"/>
      <c r="J40" s="2958"/>
      <c r="K40" s="1751"/>
      <c r="L40" s="2950"/>
      <c r="M40" s="2954"/>
      <c r="N40" s="2955"/>
      <c r="O40" s="2956"/>
      <c r="P40" s="2957"/>
      <c r="Q40" s="2954"/>
      <c r="R40" s="2955"/>
      <c r="S40" s="2956"/>
      <c r="T40" s="2958"/>
      <c r="X40" s="1747"/>
    </row>
  </sheetData>
  <mergeCells count="113">
    <mergeCell ref="B39:B40"/>
    <mergeCell ref="C39:J39"/>
    <mergeCell ref="L39:L40"/>
    <mergeCell ref="M39:T39"/>
    <mergeCell ref="C40:F40"/>
    <mergeCell ref="G40:J40"/>
    <mergeCell ref="M40:P40"/>
    <mergeCell ref="Q40:T40"/>
    <mergeCell ref="C36:H36"/>
    <mergeCell ref="I36:J36"/>
    <mergeCell ref="M36:R36"/>
    <mergeCell ref="S36:T36"/>
    <mergeCell ref="C37:H37"/>
    <mergeCell ref="I37:J37"/>
    <mergeCell ref="M37:R37"/>
    <mergeCell ref="S37:T37"/>
    <mergeCell ref="C34:H34"/>
    <mergeCell ref="I34:J34"/>
    <mergeCell ref="M34:R34"/>
    <mergeCell ref="S34:T34"/>
    <mergeCell ref="C35:H35"/>
    <mergeCell ref="I35:J35"/>
    <mergeCell ref="M35:R35"/>
    <mergeCell ref="S35:T35"/>
    <mergeCell ref="M31:P31"/>
    <mergeCell ref="Q31:T31"/>
    <mergeCell ref="C33:H33"/>
    <mergeCell ref="I33:J33"/>
    <mergeCell ref="M33:R33"/>
    <mergeCell ref="S33:T33"/>
    <mergeCell ref="C28:H28"/>
    <mergeCell ref="I28:J28"/>
    <mergeCell ref="M28:R28"/>
    <mergeCell ref="S28:T28"/>
    <mergeCell ref="B30:B31"/>
    <mergeCell ref="C30:J30"/>
    <mergeCell ref="L30:L31"/>
    <mergeCell ref="M30:T30"/>
    <mergeCell ref="C31:F31"/>
    <mergeCell ref="G31:J31"/>
    <mergeCell ref="C26:H26"/>
    <mergeCell ref="I26:J26"/>
    <mergeCell ref="M26:R26"/>
    <mergeCell ref="S26:T26"/>
    <mergeCell ref="C27:H27"/>
    <mergeCell ref="I27:J27"/>
    <mergeCell ref="M27:R27"/>
    <mergeCell ref="S27:T27"/>
    <mergeCell ref="C24:H24"/>
    <mergeCell ref="I24:J24"/>
    <mergeCell ref="M24:R24"/>
    <mergeCell ref="S24:T24"/>
    <mergeCell ref="C25:H25"/>
    <mergeCell ref="I25:J25"/>
    <mergeCell ref="M25:R25"/>
    <mergeCell ref="S25:T25"/>
    <mergeCell ref="B21:B22"/>
    <mergeCell ref="C21:J21"/>
    <mergeCell ref="L21:L22"/>
    <mergeCell ref="M21:T21"/>
    <mergeCell ref="C22:F22"/>
    <mergeCell ref="G22:J22"/>
    <mergeCell ref="M22:P22"/>
    <mergeCell ref="Q22:T22"/>
    <mergeCell ref="C18:H18"/>
    <mergeCell ref="I18:J18"/>
    <mergeCell ref="M18:R18"/>
    <mergeCell ref="S18:T18"/>
    <mergeCell ref="C19:H19"/>
    <mergeCell ref="I19:J19"/>
    <mergeCell ref="M19:R19"/>
    <mergeCell ref="S19:T19"/>
    <mergeCell ref="V18:AA18"/>
    <mergeCell ref="C6:H6"/>
    <mergeCell ref="I6:J6"/>
    <mergeCell ref="M6:R6"/>
    <mergeCell ref="S6:T6"/>
    <mergeCell ref="C7:H7"/>
    <mergeCell ref="I7:J7"/>
    <mergeCell ref="M7:R7"/>
    <mergeCell ref="S7:T7"/>
    <mergeCell ref="C16:H16"/>
    <mergeCell ref="I16:J16"/>
    <mergeCell ref="M16:R16"/>
    <mergeCell ref="S16:T16"/>
    <mergeCell ref="C17:H17"/>
    <mergeCell ref="I17:J17"/>
    <mergeCell ref="M17:R17"/>
    <mergeCell ref="S17:T17"/>
    <mergeCell ref="C15:H15"/>
    <mergeCell ref="I15:J15"/>
    <mergeCell ref="M15:R15"/>
    <mergeCell ref="S15:T15"/>
    <mergeCell ref="B12:B13"/>
    <mergeCell ref="C12:J12"/>
    <mergeCell ref="L12:L13"/>
    <mergeCell ref="M12:T12"/>
    <mergeCell ref="C13:F13"/>
    <mergeCell ref="G13:J13"/>
    <mergeCell ref="C8:H8"/>
    <mergeCell ref="I8:J8"/>
    <mergeCell ref="M8:R8"/>
    <mergeCell ref="S8:T8"/>
    <mergeCell ref="C9:H9"/>
    <mergeCell ref="I9:J9"/>
    <mergeCell ref="M9:R9"/>
    <mergeCell ref="S9:T9"/>
    <mergeCell ref="M13:P13"/>
    <mergeCell ref="Q13:T13"/>
    <mergeCell ref="C10:H10"/>
    <mergeCell ref="I10:J10"/>
    <mergeCell ref="M10:R10"/>
    <mergeCell ref="S10:T10"/>
  </mergeCells>
  <phoneticPr fontId="6" type="noConversion"/>
  <pageMargins left="0.69" right="0.7" top="0.75" bottom="0.75" header="0.3" footer="0.3"/>
  <pageSetup paperSize="9" scale="46" fitToHeight="0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59999389629810485"/>
  </sheetPr>
  <dimension ref="A2:N126"/>
  <sheetViews>
    <sheetView showGridLines="0" view="pageBreakPreview" zoomScale="85" zoomScaleNormal="100" zoomScaleSheetLayoutView="85" workbookViewId="0">
      <selection activeCell="B2" sqref="B2"/>
    </sheetView>
  </sheetViews>
  <sheetFormatPr defaultColWidth="9" defaultRowHeight="15"/>
  <cols>
    <col min="1" max="1" width="2.625" style="1759" customWidth="1"/>
    <col min="2" max="2" width="6.375" style="1759" customWidth="1"/>
    <col min="3" max="3" width="9.375" style="1759" customWidth="1"/>
    <col min="4" max="7" width="8.5" style="1759" customWidth="1"/>
    <col min="8" max="8" width="8.5" style="1760" customWidth="1"/>
    <col min="9" max="9" width="9.25" style="1759" customWidth="1"/>
    <col min="10" max="10" width="9.625" style="1759" customWidth="1"/>
    <col min="11" max="11" width="10.25" style="1759" customWidth="1"/>
    <col min="12" max="12" width="11" style="1759" customWidth="1"/>
    <col min="13" max="13" width="1.75" style="1759" customWidth="1"/>
    <col min="14" max="14" width="6.125" style="1759" bestFit="1" customWidth="1"/>
    <col min="15" max="15" width="31.375" style="1759" bestFit="1" customWidth="1"/>
    <col min="16" max="16384" width="9" style="1759"/>
  </cols>
  <sheetData>
    <row r="2" spans="1:14" s="1783" customFormat="1" ht="24" customHeight="1">
      <c r="A2" s="1599"/>
      <c r="B2" s="2112" t="s">
        <v>1450</v>
      </c>
      <c r="C2" s="1599"/>
      <c r="D2" s="1599"/>
      <c r="E2" s="1599"/>
      <c r="F2" s="1599"/>
      <c r="G2" s="1599"/>
      <c r="H2" s="1781"/>
      <c r="I2" s="1599"/>
      <c r="J2" s="1599"/>
      <c r="K2" s="1599"/>
      <c r="L2" s="1599"/>
      <c r="M2" s="1782"/>
    </row>
    <row r="3" spans="1:14">
      <c r="A3" s="1760"/>
      <c r="B3" s="1761"/>
      <c r="C3" s="1761"/>
      <c r="D3" s="1761"/>
      <c r="E3" s="1761"/>
      <c r="F3" s="1761"/>
      <c r="G3" s="1761"/>
      <c r="H3" s="1762"/>
      <c r="I3" s="1761"/>
      <c r="J3" s="1761"/>
      <c r="K3" s="1761"/>
      <c r="L3" s="1761"/>
    </row>
    <row r="4" spans="1:14">
      <c r="A4" s="1760"/>
      <c r="B4" s="1763" t="s">
        <v>1145</v>
      </c>
      <c r="C4" s="1761"/>
      <c r="D4" s="1761"/>
      <c r="E4" s="1761"/>
      <c r="F4" s="1761"/>
      <c r="G4" s="1761"/>
      <c r="H4" s="1762"/>
      <c r="I4" s="1761"/>
      <c r="J4" s="1761"/>
      <c r="K4" s="1761"/>
      <c r="L4" s="1761"/>
    </row>
    <row r="5" spans="1:14" s="1760" customFormat="1">
      <c r="H5" s="1764"/>
      <c r="L5" s="2154" t="s">
        <v>2146</v>
      </c>
      <c r="N5" s="1759" t="s">
        <v>1146</v>
      </c>
    </row>
    <row r="6" spans="1:14" s="1760" customFormat="1">
      <c r="B6" s="2998" t="s">
        <v>181</v>
      </c>
      <c r="C6" s="3001" t="s">
        <v>1147</v>
      </c>
      <c r="D6" s="3002"/>
      <c r="E6" s="3002"/>
      <c r="F6" s="3002"/>
      <c r="G6" s="3002"/>
      <c r="H6" s="3002"/>
      <c r="I6" s="3002"/>
      <c r="J6" s="3002"/>
      <c r="K6" s="3003"/>
      <c r="L6" s="2998" t="s">
        <v>37</v>
      </c>
    </row>
    <row r="7" spans="1:14" s="1760" customFormat="1">
      <c r="B7" s="2999"/>
      <c r="C7" s="2150" t="s">
        <v>1148</v>
      </c>
      <c r="D7" s="2151" t="s">
        <v>393</v>
      </c>
      <c r="E7" s="2151" t="s">
        <v>270</v>
      </c>
      <c r="F7" s="2151" t="s">
        <v>459</v>
      </c>
      <c r="G7" s="2151" t="s">
        <v>281</v>
      </c>
      <c r="H7" s="2151" t="s">
        <v>394</v>
      </c>
      <c r="I7" s="2151" t="s">
        <v>457</v>
      </c>
      <c r="J7" s="2151" t="s">
        <v>455</v>
      </c>
      <c r="K7" s="2151" t="s">
        <v>268</v>
      </c>
      <c r="L7" s="2999"/>
    </row>
    <row r="8" spans="1:14" s="1760" customFormat="1" ht="13.5" customHeight="1">
      <c r="B8" s="1765" t="s">
        <v>1149</v>
      </c>
      <c r="C8" s="1766"/>
      <c r="D8" s="1766"/>
      <c r="E8" s="1766"/>
      <c r="F8" s="1766">
        <v>1</v>
      </c>
      <c r="G8" s="1766"/>
      <c r="H8" s="1766"/>
      <c r="I8" s="1766"/>
      <c r="J8" s="1766">
        <v>2</v>
      </c>
      <c r="K8" s="1766"/>
      <c r="L8" s="1767">
        <f t="shared" ref="L8:L49" si="0">SUM(C8:K8)</f>
        <v>3</v>
      </c>
    </row>
    <row r="9" spans="1:14" s="1760" customFormat="1" ht="13.5" customHeight="1">
      <c r="B9" s="1765" t="s">
        <v>1150</v>
      </c>
      <c r="C9" s="1766"/>
      <c r="D9" s="1766"/>
      <c r="E9" s="1766"/>
      <c r="F9" s="1766">
        <v>2</v>
      </c>
      <c r="G9" s="1766"/>
      <c r="H9" s="1766"/>
      <c r="I9" s="1766"/>
      <c r="J9" s="1766">
        <v>1</v>
      </c>
      <c r="K9" s="1766"/>
      <c r="L9" s="1767">
        <f t="shared" si="0"/>
        <v>3</v>
      </c>
    </row>
    <row r="10" spans="1:14" s="1760" customFormat="1" ht="13.5" customHeight="1">
      <c r="B10" s="1765" t="s">
        <v>1151</v>
      </c>
      <c r="C10" s="1766">
        <v>1</v>
      </c>
      <c r="D10" s="1766"/>
      <c r="E10" s="1766"/>
      <c r="F10" s="1766"/>
      <c r="G10" s="1766"/>
      <c r="H10" s="1766"/>
      <c r="I10" s="1766"/>
      <c r="J10" s="1766"/>
      <c r="K10" s="1766"/>
      <c r="L10" s="1767">
        <f t="shared" si="0"/>
        <v>1</v>
      </c>
    </row>
    <row r="11" spans="1:14" s="1760" customFormat="1" ht="13.5" customHeight="1">
      <c r="B11" s="1765" t="s">
        <v>1152</v>
      </c>
      <c r="C11" s="1766"/>
      <c r="D11" s="1766"/>
      <c r="E11" s="1766"/>
      <c r="F11" s="1766"/>
      <c r="G11" s="1766"/>
      <c r="H11" s="1766"/>
      <c r="I11" s="1766"/>
      <c r="J11" s="1766"/>
      <c r="K11" s="1766"/>
      <c r="L11" s="1767">
        <f t="shared" si="0"/>
        <v>0</v>
      </c>
    </row>
    <row r="12" spans="1:14" s="1760" customFormat="1" ht="13.5" customHeight="1">
      <c r="B12" s="1765" t="s">
        <v>1153</v>
      </c>
      <c r="C12" s="1766"/>
      <c r="D12" s="1766"/>
      <c r="E12" s="1766"/>
      <c r="F12" s="1766">
        <v>2</v>
      </c>
      <c r="G12" s="1766"/>
      <c r="H12" s="1766"/>
      <c r="I12" s="1766"/>
      <c r="J12" s="1766">
        <v>2</v>
      </c>
      <c r="K12" s="1766"/>
      <c r="L12" s="1767">
        <f t="shared" si="0"/>
        <v>4</v>
      </c>
    </row>
    <row r="13" spans="1:14" s="1760" customFormat="1" ht="13.5" customHeight="1">
      <c r="B13" s="1765" t="s">
        <v>1154</v>
      </c>
      <c r="C13" s="1766">
        <v>1</v>
      </c>
      <c r="D13" s="1766"/>
      <c r="E13" s="1766"/>
      <c r="F13" s="1766"/>
      <c r="G13" s="1766"/>
      <c r="H13" s="1766"/>
      <c r="I13" s="1766"/>
      <c r="J13" s="1766">
        <v>1</v>
      </c>
      <c r="K13" s="1766"/>
      <c r="L13" s="1767">
        <f t="shared" si="0"/>
        <v>2</v>
      </c>
    </row>
    <row r="14" spans="1:14" s="1760" customFormat="1" ht="13.5" customHeight="1">
      <c r="B14" s="1765" t="s">
        <v>1155</v>
      </c>
      <c r="C14" s="1766"/>
      <c r="D14" s="1766"/>
      <c r="E14" s="1766"/>
      <c r="F14" s="1766"/>
      <c r="G14" s="1766"/>
      <c r="H14" s="1766"/>
      <c r="I14" s="1766"/>
      <c r="J14" s="1766">
        <v>1</v>
      </c>
      <c r="K14" s="1766"/>
      <c r="L14" s="1767">
        <f t="shared" si="0"/>
        <v>1</v>
      </c>
    </row>
    <row r="15" spans="1:14" s="1760" customFormat="1" ht="13.5" customHeight="1">
      <c r="B15" s="1765" t="s">
        <v>1156</v>
      </c>
      <c r="C15" s="1766"/>
      <c r="D15" s="1766"/>
      <c r="E15" s="1766"/>
      <c r="F15" s="1766"/>
      <c r="G15" s="1766"/>
      <c r="H15" s="1766"/>
      <c r="I15" s="1766"/>
      <c r="J15" s="1766">
        <v>1</v>
      </c>
      <c r="K15" s="1766"/>
      <c r="L15" s="1767">
        <f t="shared" si="0"/>
        <v>1</v>
      </c>
    </row>
    <row r="16" spans="1:14" s="1760" customFormat="1" ht="13.5" customHeight="1">
      <c r="B16" s="1765" t="s">
        <v>1157</v>
      </c>
      <c r="C16" s="1766"/>
      <c r="D16" s="1766"/>
      <c r="E16" s="1766"/>
      <c r="F16" s="1766"/>
      <c r="G16" s="1766"/>
      <c r="H16" s="1766"/>
      <c r="I16" s="1766"/>
      <c r="J16" s="1766"/>
      <c r="K16" s="1766"/>
      <c r="L16" s="1767">
        <f t="shared" si="0"/>
        <v>0</v>
      </c>
    </row>
    <row r="17" spans="2:12" s="1760" customFormat="1" ht="13.5" customHeight="1">
      <c r="B17" s="1765" t="s">
        <v>1158</v>
      </c>
      <c r="C17" s="1766"/>
      <c r="D17" s="1766">
        <v>1</v>
      </c>
      <c r="E17" s="1766"/>
      <c r="F17" s="1766"/>
      <c r="G17" s="1766"/>
      <c r="H17" s="1766"/>
      <c r="I17" s="1766"/>
      <c r="J17" s="1766"/>
      <c r="K17" s="1766"/>
      <c r="L17" s="1767">
        <f t="shared" si="0"/>
        <v>1</v>
      </c>
    </row>
    <row r="18" spans="2:12" s="1760" customFormat="1" ht="13.5" customHeight="1">
      <c r="B18" s="1765" t="s">
        <v>1159</v>
      </c>
      <c r="C18" s="1766"/>
      <c r="D18" s="1766"/>
      <c r="E18" s="1766"/>
      <c r="F18" s="1766"/>
      <c r="G18" s="1766"/>
      <c r="H18" s="1766"/>
      <c r="I18" s="1766"/>
      <c r="J18" s="1766">
        <v>1</v>
      </c>
      <c r="K18" s="1766"/>
      <c r="L18" s="1767">
        <f t="shared" si="0"/>
        <v>1</v>
      </c>
    </row>
    <row r="19" spans="2:12" s="1760" customFormat="1" ht="13.5" customHeight="1">
      <c r="B19" s="1765" t="s">
        <v>1160</v>
      </c>
      <c r="C19" s="1766"/>
      <c r="D19" s="1766"/>
      <c r="E19" s="1766"/>
      <c r="F19" s="1766">
        <v>3</v>
      </c>
      <c r="G19" s="1766"/>
      <c r="H19" s="1766"/>
      <c r="I19" s="1766"/>
      <c r="J19" s="1766">
        <v>1</v>
      </c>
      <c r="K19" s="1766"/>
      <c r="L19" s="1767">
        <f t="shared" si="0"/>
        <v>4</v>
      </c>
    </row>
    <row r="20" spans="2:12" s="1760" customFormat="1" ht="13.5" customHeight="1">
      <c r="B20" s="1765" t="s">
        <v>1161</v>
      </c>
      <c r="C20" s="1766"/>
      <c r="D20" s="1766">
        <v>1</v>
      </c>
      <c r="E20" s="1766"/>
      <c r="F20" s="1766"/>
      <c r="G20" s="1766"/>
      <c r="H20" s="1766"/>
      <c r="I20" s="1766"/>
      <c r="J20" s="1766">
        <v>3</v>
      </c>
      <c r="K20" s="1766"/>
      <c r="L20" s="1767">
        <f t="shared" si="0"/>
        <v>4</v>
      </c>
    </row>
    <row r="21" spans="2:12" s="1760" customFormat="1" ht="13.5" customHeight="1">
      <c r="B21" s="1765" t="s">
        <v>1162</v>
      </c>
      <c r="C21" s="1766"/>
      <c r="D21" s="1766"/>
      <c r="E21" s="1766"/>
      <c r="F21" s="1766"/>
      <c r="G21" s="1766"/>
      <c r="H21" s="1766"/>
      <c r="I21" s="1766"/>
      <c r="J21" s="1766">
        <v>1</v>
      </c>
      <c r="K21" s="1766"/>
      <c r="L21" s="1767">
        <f t="shared" si="0"/>
        <v>1</v>
      </c>
    </row>
    <row r="22" spans="2:12" s="1760" customFormat="1" ht="13.5" customHeight="1">
      <c r="B22" s="1765" t="s">
        <v>1163</v>
      </c>
      <c r="C22" s="1766"/>
      <c r="D22" s="1766"/>
      <c r="E22" s="1766"/>
      <c r="F22" s="1766"/>
      <c r="G22" s="1766"/>
      <c r="H22" s="1766"/>
      <c r="I22" s="1766"/>
      <c r="J22" s="1766"/>
      <c r="K22" s="1766"/>
      <c r="L22" s="1767">
        <f t="shared" si="0"/>
        <v>0</v>
      </c>
    </row>
    <row r="23" spans="2:12" s="1760" customFormat="1" ht="13.5" customHeight="1">
      <c r="B23" s="1765" t="s">
        <v>1164</v>
      </c>
      <c r="C23" s="1766"/>
      <c r="D23" s="1766">
        <v>1</v>
      </c>
      <c r="E23" s="1766"/>
      <c r="F23" s="1766"/>
      <c r="G23" s="1766"/>
      <c r="H23" s="1766"/>
      <c r="I23" s="1766"/>
      <c r="J23" s="1766">
        <v>1</v>
      </c>
      <c r="K23" s="1766"/>
      <c r="L23" s="1767">
        <f t="shared" si="0"/>
        <v>2</v>
      </c>
    </row>
    <row r="24" spans="2:12" s="1760" customFormat="1" ht="13.5" customHeight="1">
      <c r="B24" s="1765" t="s">
        <v>1165</v>
      </c>
      <c r="C24" s="1766"/>
      <c r="D24" s="1766"/>
      <c r="E24" s="1766"/>
      <c r="F24" s="1766"/>
      <c r="G24" s="1766"/>
      <c r="H24" s="1766"/>
      <c r="I24" s="1766"/>
      <c r="J24" s="1766">
        <v>5</v>
      </c>
      <c r="K24" s="1766"/>
      <c r="L24" s="1767">
        <f t="shared" si="0"/>
        <v>5</v>
      </c>
    </row>
    <row r="25" spans="2:12" s="1760" customFormat="1" ht="13.5" customHeight="1">
      <c r="B25" s="1765" t="s">
        <v>1166</v>
      </c>
      <c r="C25" s="1766"/>
      <c r="D25" s="1766"/>
      <c r="E25" s="1766"/>
      <c r="F25" s="1766"/>
      <c r="G25" s="1766"/>
      <c r="H25" s="1766"/>
      <c r="I25" s="1766"/>
      <c r="J25" s="1766"/>
      <c r="K25" s="1766"/>
      <c r="L25" s="1767">
        <f t="shared" si="0"/>
        <v>0</v>
      </c>
    </row>
    <row r="26" spans="2:12" s="1760" customFormat="1" ht="13.5" customHeight="1">
      <c r="B26" s="1765" t="s">
        <v>1167</v>
      </c>
      <c r="C26" s="1766"/>
      <c r="D26" s="1766">
        <v>1</v>
      </c>
      <c r="E26" s="1766"/>
      <c r="F26" s="1766">
        <v>2</v>
      </c>
      <c r="G26" s="1766"/>
      <c r="H26" s="1766"/>
      <c r="I26" s="1766"/>
      <c r="J26" s="1766">
        <v>3</v>
      </c>
      <c r="K26" s="1766"/>
      <c r="L26" s="1767">
        <f t="shared" si="0"/>
        <v>6</v>
      </c>
    </row>
    <row r="27" spans="2:12" s="1760" customFormat="1" ht="13.5" customHeight="1">
      <c r="B27" s="1765" t="s">
        <v>1168</v>
      </c>
      <c r="C27" s="1766"/>
      <c r="D27" s="1766">
        <v>1</v>
      </c>
      <c r="E27" s="1766"/>
      <c r="F27" s="1766">
        <v>3</v>
      </c>
      <c r="G27" s="1766"/>
      <c r="H27" s="1766"/>
      <c r="I27" s="1766"/>
      <c r="J27" s="1766">
        <v>5</v>
      </c>
      <c r="K27" s="1766"/>
      <c r="L27" s="1767">
        <f t="shared" si="0"/>
        <v>10</v>
      </c>
    </row>
    <row r="28" spans="2:12" s="1760" customFormat="1" ht="13.5" customHeight="1">
      <c r="B28" s="1765" t="s">
        <v>1169</v>
      </c>
      <c r="C28" s="1766"/>
      <c r="D28" s="1766"/>
      <c r="E28" s="1766"/>
      <c r="F28" s="1766">
        <v>1</v>
      </c>
      <c r="G28" s="1766"/>
      <c r="H28" s="1766"/>
      <c r="I28" s="1766"/>
      <c r="J28" s="1766"/>
      <c r="K28" s="1766"/>
      <c r="L28" s="1767">
        <f t="shared" si="0"/>
        <v>1</v>
      </c>
    </row>
    <row r="29" spans="2:12" s="1760" customFormat="1" ht="13.5" customHeight="1">
      <c r="B29" s="1765" t="s">
        <v>1170</v>
      </c>
      <c r="C29" s="1766"/>
      <c r="D29" s="1766"/>
      <c r="E29" s="1766"/>
      <c r="F29" s="1766"/>
      <c r="G29" s="1766"/>
      <c r="H29" s="1766"/>
      <c r="I29" s="1766"/>
      <c r="J29" s="1766">
        <v>5</v>
      </c>
      <c r="K29" s="1766"/>
      <c r="L29" s="1767">
        <f t="shared" si="0"/>
        <v>5</v>
      </c>
    </row>
    <row r="30" spans="2:12" s="1760" customFormat="1" ht="13.5" customHeight="1">
      <c r="B30" s="1765" t="s">
        <v>1171</v>
      </c>
      <c r="C30" s="1766"/>
      <c r="D30" s="1766"/>
      <c r="E30" s="1766"/>
      <c r="F30" s="1766"/>
      <c r="G30" s="1766"/>
      <c r="H30" s="1766"/>
      <c r="I30" s="1766"/>
      <c r="J30" s="1766"/>
      <c r="K30" s="1766"/>
      <c r="L30" s="1767">
        <f t="shared" si="0"/>
        <v>0</v>
      </c>
    </row>
    <row r="31" spans="2:12" s="1760" customFormat="1" ht="13.5" customHeight="1">
      <c r="B31" s="1765" t="s">
        <v>1172</v>
      </c>
      <c r="C31" s="1766"/>
      <c r="D31" s="1766"/>
      <c r="E31" s="1766"/>
      <c r="F31" s="1766"/>
      <c r="G31" s="1766"/>
      <c r="H31" s="1766"/>
      <c r="I31" s="1766"/>
      <c r="J31" s="1766"/>
      <c r="K31" s="1766"/>
      <c r="L31" s="1767">
        <f t="shared" si="0"/>
        <v>0</v>
      </c>
    </row>
    <row r="32" spans="2:12" s="1760" customFormat="1" ht="13.5" customHeight="1">
      <c r="B32" s="1765" t="s">
        <v>1173</v>
      </c>
      <c r="C32" s="1766"/>
      <c r="D32" s="1766"/>
      <c r="E32" s="1766"/>
      <c r="F32" s="1766"/>
      <c r="G32" s="1766"/>
      <c r="H32" s="1766"/>
      <c r="I32" s="1766"/>
      <c r="J32" s="1766">
        <v>2</v>
      </c>
      <c r="K32" s="1766"/>
      <c r="L32" s="1767">
        <f t="shared" si="0"/>
        <v>2</v>
      </c>
    </row>
    <row r="33" spans="2:12" s="1760" customFormat="1" ht="13.5" customHeight="1">
      <c r="B33" s="1765" t="s">
        <v>1174</v>
      </c>
      <c r="C33" s="1766"/>
      <c r="D33" s="1766"/>
      <c r="E33" s="1766"/>
      <c r="F33" s="1766"/>
      <c r="G33" s="1766"/>
      <c r="H33" s="1766"/>
      <c r="I33" s="1766"/>
      <c r="J33" s="1766">
        <v>3</v>
      </c>
      <c r="K33" s="1766"/>
      <c r="L33" s="1767">
        <f t="shared" si="0"/>
        <v>3</v>
      </c>
    </row>
    <row r="34" spans="2:12" s="1760" customFormat="1" ht="13.5" customHeight="1">
      <c r="B34" s="1765" t="s">
        <v>1175</v>
      </c>
      <c r="C34" s="1766"/>
      <c r="D34" s="1766">
        <v>1</v>
      </c>
      <c r="E34" s="1766"/>
      <c r="F34" s="1766">
        <v>2</v>
      </c>
      <c r="G34" s="1766"/>
      <c r="H34" s="1766"/>
      <c r="I34" s="1766"/>
      <c r="J34" s="1766"/>
      <c r="K34" s="1766"/>
      <c r="L34" s="1767">
        <f t="shared" si="0"/>
        <v>3</v>
      </c>
    </row>
    <row r="35" spans="2:12" s="1760" customFormat="1" ht="13.5" customHeight="1">
      <c r="B35" s="1765" t="s">
        <v>1176</v>
      </c>
      <c r="C35" s="1766"/>
      <c r="D35" s="1766"/>
      <c r="E35" s="1766"/>
      <c r="F35" s="1766"/>
      <c r="G35" s="1766"/>
      <c r="H35" s="1766">
        <v>1</v>
      </c>
      <c r="I35" s="1766"/>
      <c r="J35" s="1766"/>
      <c r="K35" s="1766"/>
      <c r="L35" s="1767">
        <f t="shared" si="0"/>
        <v>1</v>
      </c>
    </row>
    <row r="36" spans="2:12" s="1760" customFormat="1" ht="13.5" customHeight="1">
      <c r="B36" s="1765" t="s">
        <v>188</v>
      </c>
      <c r="C36" s="1766"/>
      <c r="D36" s="1766"/>
      <c r="E36" s="1766"/>
      <c r="F36" s="1766"/>
      <c r="G36" s="1766"/>
      <c r="H36" s="1766"/>
      <c r="I36" s="1766"/>
      <c r="J36" s="1766">
        <v>2</v>
      </c>
      <c r="K36" s="1766"/>
      <c r="L36" s="1767">
        <f t="shared" si="0"/>
        <v>2</v>
      </c>
    </row>
    <row r="37" spans="2:12" s="1760" customFormat="1" ht="13.5" customHeight="1">
      <c r="B37" s="1765" t="s">
        <v>1177</v>
      </c>
      <c r="C37" s="1766"/>
      <c r="D37" s="1766">
        <v>1</v>
      </c>
      <c r="E37" s="1766"/>
      <c r="F37" s="1766"/>
      <c r="G37" s="1766"/>
      <c r="H37" s="1766"/>
      <c r="I37" s="1766"/>
      <c r="J37" s="1766">
        <v>2</v>
      </c>
      <c r="K37" s="1766"/>
      <c r="L37" s="1767">
        <f t="shared" si="0"/>
        <v>3</v>
      </c>
    </row>
    <row r="38" spans="2:12" s="1760" customFormat="1" ht="13.5" customHeight="1">
      <c r="B38" s="1765" t="s">
        <v>1178</v>
      </c>
      <c r="C38" s="1766"/>
      <c r="D38" s="1766"/>
      <c r="E38" s="1766"/>
      <c r="F38" s="1766"/>
      <c r="G38" s="1766"/>
      <c r="H38" s="1766"/>
      <c r="I38" s="1766"/>
      <c r="J38" s="1766">
        <v>5</v>
      </c>
      <c r="K38" s="1766"/>
      <c r="L38" s="1767">
        <f t="shared" si="0"/>
        <v>5</v>
      </c>
    </row>
    <row r="39" spans="2:12" s="1760" customFormat="1" ht="13.5" customHeight="1">
      <c r="B39" s="1765" t="s">
        <v>1179</v>
      </c>
      <c r="C39" s="1766"/>
      <c r="D39" s="1766"/>
      <c r="E39" s="1766"/>
      <c r="F39" s="1766">
        <v>2</v>
      </c>
      <c r="G39" s="1766"/>
      <c r="H39" s="1766"/>
      <c r="I39" s="1766"/>
      <c r="J39" s="1766">
        <v>3</v>
      </c>
      <c r="K39" s="1766"/>
      <c r="L39" s="1767">
        <f t="shared" si="0"/>
        <v>5</v>
      </c>
    </row>
    <row r="40" spans="2:12" s="1760" customFormat="1" ht="13.5" customHeight="1">
      <c r="B40" s="1765" t="s">
        <v>1180</v>
      </c>
      <c r="C40" s="1766"/>
      <c r="D40" s="1766"/>
      <c r="E40" s="1766"/>
      <c r="F40" s="1766"/>
      <c r="G40" s="1766"/>
      <c r="H40" s="1766"/>
      <c r="I40" s="1766"/>
      <c r="J40" s="1766">
        <v>2</v>
      </c>
      <c r="K40" s="1766"/>
      <c r="L40" s="1767">
        <f t="shared" si="0"/>
        <v>2</v>
      </c>
    </row>
    <row r="41" spans="2:12" s="1760" customFormat="1" ht="13.5" customHeight="1">
      <c r="B41" s="1768" t="s">
        <v>395</v>
      </c>
      <c r="C41" s="1766"/>
      <c r="D41" s="1766"/>
      <c r="E41" s="1766"/>
      <c r="F41" s="1766">
        <v>1</v>
      </c>
      <c r="G41" s="1766"/>
      <c r="H41" s="1766"/>
      <c r="I41" s="1766"/>
      <c r="J41" s="1766">
        <v>3</v>
      </c>
      <c r="K41" s="1766"/>
      <c r="L41" s="1767">
        <f t="shared" si="0"/>
        <v>4</v>
      </c>
    </row>
    <row r="42" spans="2:12" s="1760" customFormat="1" ht="13.5" customHeight="1">
      <c r="B42" s="1768" t="s">
        <v>1181</v>
      </c>
      <c r="C42" s="1766"/>
      <c r="D42" s="1766"/>
      <c r="E42" s="1766"/>
      <c r="F42" s="1766"/>
      <c r="G42" s="1766"/>
      <c r="H42" s="1766"/>
      <c r="I42" s="1766"/>
      <c r="J42" s="1766"/>
      <c r="K42" s="1766"/>
      <c r="L42" s="1767">
        <f t="shared" si="0"/>
        <v>0</v>
      </c>
    </row>
    <row r="43" spans="2:12" s="1760" customFormat="1" ht="13.5" customHeight="1">
      <c r="B43" s="1768" t="s">
        <v>1182</v>
      </c>
      <c r="C43" s="1766"/>
      <c r="D43" s="1766">
        <v>1</v>
      </c>
      <c r="E43" s="1766"/>
      <c r="F43" s="1766">
        <v>1</v>
      </c>
      <c r="G43" s="1766"/>
      <c r="H43" s="1766"/>
      <c r="I43" s="1766"/>
      <c r="J43" s="1766">
        <v>7</v>
      </c>
      <c r="K43" s="1766"/>
      <c r="L43" s="1767">
        <f t="shared" si="0"/>
        <v>9</v>
      </c>
    </row>
    <row r="44" spans="2:12" s="1760" customFormat="1" ht="13.5" customHeight="1">
      <c r="B44" s="1768" t="s">
        <v>1183</v>
      </c>
      <c r="C44" s="1766"/>
      <c r="D44" s="1766"/>
      <c r="E44" s="1766"/>
      <c r="F44" s="1766"/>
      <c r="G44" s="1766"/>
      <c r="H44" s="1766"/>
      <c r="I44" s="1766"/>
      <c r="J44" s="1766">
        <v>2</v>
      </c>
      <c r="K44" s="1766"/>
      <c r="L44" s="1767">
        <f t="shared" si="0"/>
        <v>2</v>
      </c>
    </row>
    <row r="45" spans="2:12" s="1760" customFormat="1" ht="13.5" customHeight="1">
      <c r="B45" s="1768" t="s">
        <v>1184</v>
      </c>
      <c r="C45" s="1766">
        <v>1</v>
      </c>
      <c r="D45" s="1766"/>
      <c r="E45" s="1766"/>
      <c r="F45" s="1766"/>
      <c r="G45" s="1766"/>
      <c r="H45" s="1766"/>
      <c r="I45" s="1766"/>
      <c r="J45" s="1766">
        <v>3</v>
      </c>
      <c r="K45" s="1766"/>
      <c r="L45" s="1767">
        <f t="shared" si="0"/>
        <v>4</v>
      </c>
    </row>
    <row r="46" spans="2:12" s="1760" customFormat="1" ht="13.5" customHeight="1">
      <c r="B46" s="1768" t="s">
        <v>1185</v>
      </c>
      <c r="C46" s="1766"/>
      <c r="D46" s="1766"/>
      <c r="E46" s="1766"/>
      <c r="F46" s="1766"/>
      <c r="G46" s="1766"/>
      <c r="H46" s="1766"/>
      <c r="I46" s="1766"/>
      <c r="J46" s="1766"/>
      <c r="K46" s="1766"/>
      <c r="L46" s="1767">
        <f t="shared" si="0"/>
        <v>0</v>
      </c>
    </row>
    <row r="47" spans="2:12" s="1760" customFormat="1" ht="13.5" customHeight="1">
      <c r="B47" s="1768" t="s">
        <v>1186</v>
      </c>
      <c r="C47" s="1766"/>
      <c r="D47" s="1766"/>
      <c r="E47" s="1766"/>
      <c r="F47" s="1766"/>
      <c r="G47" s="1766"/>
      <c r="H47" s="1766"/>
      <c r="I47" s="1766"/>
      <c r="J47" s="1766"/>
      <c r="K47" s="1766"/>
      <c r="L47" s="1767">
        <f t="shared" si="0"/>
        <v>0</v>
      </c>
    </row>
    <row r="48" spans="2:12" s="1760" customFormat="1" ht="13.5" customHeight="1">
      <c r="B48" s="1768" t="s">
        <v>1187</v>
      </c>
      <c r="C48" s="1766"/>
      <c r="D48" s="1766">
        <v>1</v>
      </c>
      <c r="E48" s="1766"/>
      <c r="F48" s="1766"/>
      <c r="G48" s="1766"/>
      <c r="H48" s="1766">
        <v>2</v>
      </c>
      <c r="I48" s="1766"/>
      <c r="J48" s="1766"/>
      <c r="K48" s="1766"/>
      <c r="L48" s="1767">
        <f t="shared" si="0"/>
        <v>4</v>
      </c>
    </row>
    <row r="49" spans="1:13" s="1760" customFormat="1" ht="13.5" customHeight="1">
      <c r="B49" s="2152" t="s">
        <v>37</v>
      </c>
      <c r="C49" s="2153">
        <f t="shared" ref="C49:K49" si="1">SUM(C8:C48)</f>
        <v>3</v>
      </c>
      <c r="D49" s="2153">
        <f>SUM(D8:D48)</f>
        <v>10</v>
      </c>
      <c r="E49" s="2153">
        <f t="shared" si="1"/>
        <v>3</v>
      </c>
      <c r="F49" s="2153">
        <f t="shared" si="1"/>
        <v>18</v>
      </c>
      <c r="G49" s="2153">
        <f t="shared" si="1"/>
        <v>0</v>
      </c>
      <c r="H49" s="2153">
        <f t="shared" si="1"/>
        <v>3</v>
      </c>
      <c r="I49" s="2153">
        <f t="shared" si="1"/>
        <v>0</v>
      </c>
      <c r="J49" s="2153">
        <f t="shared" si="1"/>
        <v>67</v>
      </c>
      <c r="K49" s="2153">
        <f t="shared" si="1"/>
        <v>0</v>
      </c>
      <c r="L49" s="2153">
        <f t="shared" si="0"/>
        <v>104</v>
      </c>
    </row>
    <row r="50" spans="1:13" s="1760" customFormat="1"/>
    <row r="51" spans="1:13" s="1760" customFormat="1" ht="13.5" customHeight="1">
      <c r="B51" s="1769" t="s">
        <v>1188</v>
      </c>
      <c r="C51" s="1770"/>
      <c r="D51" s="1770"/>
      <c r="E51" s="1770"/>
    </row>
    <row r="52" spans="1:13" s="1760" customFormat="1" ht="6.75" customHeight="1">
      <c r="B52" s="1771"/>
    </row>
    <row r="53" spans="1:13" s="1760" customFormat="1" ht="12.75" customHeight="1">
      <c r="B53" s="1772" t="s">
        <v>2023</v>
      </c>
      <c r="C53" s="1772"/>
      <c r="D53" s="1772"/>
      <c r="E53" s="1772"/>
      <c r="F53" s="1772"/>
      <c r="G53" s="1772"/>
      <c r="H53" s="1772"/>
      <c r="I53" s="1772"/>
      <c r="J53" s="1772"/>
      <c r="K53" s="1772"/>
      <c r="L53" s="1772"/>
    </row>
    <row r="54" spans="1:13" s="1760" customFormat="1" ht="12.75" customHeight="1">
      <c r="B54" s="1772" t="s">
        <v>2024</v>
      </c>
      <c r="C54" s="1772"/>
      <c r="D54" s="1772"/>
      <c r="E54" s="1772"/>
      <c r="F54" s="1772"/>
      <c r="G54" s="1772"/>
      <c r="H54" s="1772"/>
      <c r="I54" s="1772"/>
      <c r="J54" s="1772"/>
      <c r="K54" s="1772"/>
      <c r="L54" s="1772"/>
    </row>
    <row r="55" spans="1:13" s="1760" customFormat="1" ht="12.75" customHeight="1">
      <c r="B55" s="1773" t="s">
        <v>2025</v>
      </c>
      <c r="C55" s="1772"/>
      <c r="D55" s="1772"/>
      <c r="E55" s="1772"/>
      <c r="F55" s="1772"/>
      <c r="G55" s="1772"/>
      <c r="H55" s="1772"/>
      <c r="I55" s="1772"/>
      <c r="J55" s="1772"/>
      <c r="K55" s="1772"/>
      <c r="L55" s="1772"/>
    </row>
    <row r="56" spans="1:13" s="1760" customFormat="1" ht="12.75" customHeight="1">
      <c r="B56" s="1772" t="s">
        <v>2026</v>
      </c>
      <c r="C56" s="1772"/>
      <c r="D56" s="1772"/>
      <c r="E56" s="1772"/>
      <c r="F56" s="1772"/>
      <c r="G56" s="1772"/>
      <c r="H56" s="1772"/>
      <c r="I56" s="1772"/>
      <c r="J56" s="1772"/>
      <c r="K56" s="1772"/>
      <c r="L56" s="1772"/>
    </row>
    <row r="57" spans="1:13" s="1760" customFormat="1" ht="12.75" customHeight="1">
      <c r="B57" s="1772" t="s">
        <v>2027</v>
      </c>
      <c r="C57" s="1772"/>
      <c r="D57" s="1772"/>
      <c r="E57" s="1772"/>
      <c r="F57" s="1772"/>
      <c r="G57" s="1772"/>
      <c r="H57" s="1772"/>
      <c r="I57" s="1772"/>
      <c r="J57" s="1772"/>
      <c r="K57" s="1772"/>
      <c r="L57" s="1772"/>
    </row>
    <row r="58" spans="1:13" s="1760" customFormat="1" ht="12.75" customHeight="1">
      <c r="B58" s="1772" t="s">
        <v>2028</v>
      </c>
      <c r="C58" s="1772"/>
      <c r="D58" s="1772"/>
      <c r="E58" s="1772"/>
      <c r="F58" s="1772"/>
      <c r="G58" s="1772"/>
      <c r="H58" s="1772"/>
      <c r="I58" s="1772"/>
      <c r="J58" s="1772"/>
      <c r="K58" s="1772"/>
      <c r="L58" s="1772"/>
    </row>
    <row r="59" spans="1:13" s="1760" customFormat="1" ht="12.75" customHeight="1">
      <c r="B59" s="1772"/>
      <c r="C59" s="1772"/>
      <c r="D59" s="1772"/>
      <c r="E59" s="1772"/>
      <c r="F59" s="1772"/>
      <c r="G59" s="1772"/>
      <c r="H59" s="1772"/>
      <c r="I59" s="1772"/>
      <c r="J59" s="1772"/>
      <c r="K59" s="1772"/>
      <c r="L59" s="1772"/>
    </row>
    <row r="60" spans="1:13" ht="12.75" customHeight="1">
      <c r="A60" s="1760"/>
      <c r="B60" s="3004"/>
      <c r="C60" s="3005"/>
      <c r="D60" s="3005"/>
      <c r="E60" s="3005"/>
      <c r="F60" s="3005"/>
      <c r="G60" s="3005"/>
      <c r="H60" s="3005"/>
      <c r="I60" s="3005"/>
      <c r="J60" s="3005"/>
      <c r="K60" s="3005"/>
      <c r="L60" s="3005"/>
      <c r="M60" s="1760"/>
    </row>
    <row r="61" spans="1:13" ht="16.5" customHeight="1">
      <c r="A61" s="1760"/>
    </row>
    <row r="62" spans="1:13" ht="16.5" customHeight="1">
      <c r="A62" s="1760"/>
      <c r="B62" s="2998" t="s">
        <v>1189</v>
      </c>
      <c r="C62" s="3001" t="s">
        <v>1147</v>
      </c>
      <c r="D62" s="3002"/>
      <c r="E62" s="3002"/>
      <c r="F62" s="3002"/>
      <c r="G62" s="3002"/>
      <c r="H62" s="3002"/>
      <c r="I62" s="3002"/>
      <c r="J62" s="3002"/>
      <c r="K62" s="3003"/>
      <c r="L62" s="2998" t="s">
        <v>37</v>
      </c>
    </row>
    <row r="63" spans="1:13">
      <c r="A63" s="1760"/>
      <c r="B63" s="2999"/>
      <c r="C63" s="2151" t="s">
        <v>460</v>
      </c>
      <c r="D63" s="2151" t="s">
        <v>461</v>
      </c>
      <c r="E63" s="2151" t="s">
        <v>462</v>
      </c>
      <c r="F63" s="2151" t="s">
        <v>458</v>
      </c>
      <c r="G63" s="2151" t="s">
        <v>463</v>
      </c>
      <c r="H63" s="2151" t="s">
        <v>464</v>
      </c>
      <c r="I63" s="2151" t="s">
        <v>456</v>
      </c>
      <c r="J63" s="2151" t="s">
        <v>454</v>
      </c>
      <c r="K63" s="2151" t="s">
        <v>465</v>
      </c>
      <c r="L63" s="2999"/>
    </row>
    <row r="64" spans="1:13">
      <c r="A64" s="1760"/>
      <c r="B64" s="1774"/>
      <c r="C64" s="1775">
        <f t="shared" ref="C64:K64" si="2">C49</f>
        <v>3</v>
      </c>
      <c r="D64" s="1775">
        <f t="shared" si="2"/>
        <v>10</v>
      </c>
      <c r="E64" s="1775">
        <f t="shared" si="2"/>
        <v>3</v>
      </c>
      <c r="F64" s="1775">
        <f t="shared" si="2"/>
        <v>18</v>
      </c>
      <c r="G64" s="1775">
        <f t="shared" si="2"/>
        <v>0</v>
      </c>
      <c r="H64" s="1775">
        <f t="shared" si="2"/>
        <v>3</v>
      </c>
      <c r="I64" s="1775">
        <f t="shared" si="2"/>
        <v>0</v>
      </c>
      <c r="J64" s="1775">
        <f t="shared" si="2"/>
        <v>67</v>
      </c>
      <c r="K64" s="1775">
        <f t="shared" si="2"/>
        <v>0</v>
      </c>
      <c r="L64" s="1776">
        <f>SUM(C64:K64)</f>
        <v>104</v>
      </c>
    </row>
    <row r="65" spans="1:13">
      <c r="A65" s="1760"/>
      <c r="B65" s="1760"/>
      <c r="C65" s="1760"/>
      <c r="D65" s="1760"/>
      <c r="E65" s="1760"/>
      <c r="F65" s="1760"/>
      <c r="G65" s="1760"/>
      <c r="H65" s="1764"/>
      <c r="I65" s="1760"/>
      <c r="J65" s="1760"/>
      <c r="K65" s="1760"/>
      <c r="L65" s="1760"/>
    </row>
    <row r="66" spans="1:13">
      <c r="A66" s="1760"/>
      <c r="B66" s="1760"/>
      <c r="C66" s="1760"/>
      <c r="D66" s="1760"/>
      <c r="E66" s="1760"/>
      <c r="F66" s="1760"/>
      <c r="G66" s="1760"/>
      <c r="H66" s="1764"/>
      <c r="I66" s="1760"/>
      <c r="J66" s="1760"/>
      <c r="K66" s="1760"/>
      <c r="L66" s="1760"/>
    </row>
    <row r="67" spans="1:13">
      <c r="A67" s="1760"/>
      <c r="B67" s="1760"/>
      <c r="C67" s="1760"/>
      <c r="D67" s="1760"/>
      <c r="E67" s="1760"/>
      <c r="F67" s="1760"/>
      <c r="G67" s="1760"/>
      <c r="H67" s="1764"/>
      <c r="I67" s="1760"/>
      <c r="J67" s="1760"/>
      <c r="K67" s="1760"/>
      <c r="L67" s="1760"/>
    </row>
    <row r="68" spans="1:13">
      <c r="A68" s="1760"/>
      <c r="B68" s="1760"/>
      <c r="C68" s="1760"/>
      <c r="D68" s="1760"/>
      <c r="E68" s="1760"/>
      <c r="F68" s="1760"/>
      <c r="G68" s="1760"/>
      <c r="H68" s="1764"/>
      <c r="I68" s="1760"/>
      <c r="J68" s="1760"/>
      <c r="K68" s="1760"/>
      <c r="L68" s="1760"/>
    </row>
    <row r="69" spans="1:13">
      <c r="A69" s="1760"/>
      <c r="B69" s="1760"/>
      <c r="C69" s="1760"/>
      <c r="D69" s="1760"/>
      <c r="E69" s="1760"/>
      <c r="F69" s="1760"/>
      <c r="G69" s="1760"/>
      <c r="H69" s="1764"/>
      <c r="I69" s="1760"/>
      <c r="J69" s="1760"/>
      <c r="K69" s="1760"/>
      <c r="L69" s="1760"/>
    </row>
    <row r="70" spans="1:13">
      <c r="A70" s="1760"/>
      <c r="B70" s="1760"/>
      <c r="C70" s="1760"/>
      <c r="D70" s="1760"/>
      <c r="E70" s="1760"/>
      <c r="F70" s="1760"/>
      <c r="G70" s="1760"/>
      <c r="H70" s="1764"/>
      <c r="I70" s="1760"/>
      <c r="J70" s="1760"/>
      <c r="K70" s="1760"/>
      <c r="L70" s="1760"/>
    </row>
    <row r="71" spans="1:13">
      <c r="A71" s="1760"/>
      <c r="B71" s="1760"/>
      <c r="C71" s="1760"/>
      <c r="D71" s="1760"/>
      <c r="E71" s="1760"/>
      <c r="F71" s="1760"/>
      <c r="G71" s="1760"/>
      <c r="H71" s="1764"/>
      <c r="I71" s="1760"/>
      <c r="J71" s="1760"/>
      <c r="K71" s="1760"/>
      <c r="L71" s="1760"/>
    </row>
    <row r="72" spans="1:13">
      <c r="A72" s="1760"/>
      <c r="B72" s="1760"/>
      <c r="C72" s="1760"/>
      <c r="D72" s="1760"/>
      <c r="E72" s="1760"/>
      <c r="F72" s="1760"/>
      <c r="G72" s="1760"/>
      <c r="H72" s="1764"/>
      <c r="I72" s="1760"/>
      <c r="J72" s="1760"/>
      <c r="K72" s="1760"/>
      <c r="L72" s="1760"/>
    </row>
    <row r="73" spans="1:13">
      <c r="A73" s="1760"/>
      <c r="B73" s="1760"/>
      <c r="C73" s="1760"/>
      <c r="D73" s="1760"/>
      <c r="E73" s="1760"/>
      <c r="F73" s="1760"/>
      <c r="G73" s="1760"/>
      <c r="H73" s="1764"/>
      <c r="I73" s="1760"/>
      <c r="J73" s="1760"/>
      <c r="K73" s="1760"/>
      <c r="L73" s="1760"/>
    </row>
    <row r="74" spans="1:13">
      <c r="A74" s="1760"/>
      <c r="B74" s="1760"/>
      <c r="C74" s="1760"/>
      <c r="D74" s="1760"/>
      <c r="E74" s="1760"/>
      <c r="F74" s="1760"/>
      <c r="G74" s="1760"/>
      <c r="H74" s="1764"/>
      <c r="I74" s="1760"/>
      <c r="J74" s="1760"/>
      <c r="K74" s="1760"/>
      <c r="L74" s="1760"/>
    </row>
    <row r="75" spans="1:13">
      <c r="A75" s="1760"/>
      <c r="B75" s="1760"/>
      <c r="C75" s="1760"/>
      <c r="D75" s="1760"/>
      <c r="E75" s="1760"/>
      <c r="F75" s="1760"/>
      <c r="G75" s="1760"/>
      <c r="H75" s="1764"/>
      <c r="I75" s="1760"/>
      <c r="J75" s="1760"/>
      <c r="K75" s="1760"/>
      <c r="L75" s="1760"/>
    </row>
    <row r="76" spans="1:13" ht="7.5" customHeight="1">
      <c r="A76" s="1760"/>
      <c r="B76" s="1760"/>
      <c r="C76" s="1760"/>
      <c r="D76" s="1760"/>
      <c r="E76" s="1760"/>
      <c r="F76" s="1760"/>
      <c r="G76" s="1760"/>
      <c r="H76" s="1764"/>
      <c r="I76" s="1760"/>
      <c r="J76" s="1760"/>
      <c r="K76" s="1760"/>
      <c r="L76" s="1760"/>
    </row>
    <row r="77" spans="1:13" ht="16.5" customHeight="1">
      <c r="A77" s="1760"/>
      <c r="B77" s="1760"/>
      <c r="C77" s="1777"/>
      <c r="D77" s="1778"/>
      <c r="E77" s="1760"/>
      <c r="F77" s="1760"/>
      <c r="G77" s="1760"/>
      <c r="I77" s="1764"/>
      <c r="J77" s="1760"/>
      <c r="K77" s="1760"/>
      <c r="L77" s="1760"/>
      <c r="M77" s="1760"/>
    </row>
    <row r="78" spans="1:13" ht="9.75" customHeight="1">
      <c r="A78" s="1760"/>
      <c r="B78" s="1760"/>
      <c r="C78" s="1760"/>
      <c r="D78" s="1760"/>
      <c r="E78" s="1760"/>
      <c r="F78" s="1760"/>
      <c r="G78" s="1760"/>
      <c r="I78" s="1764"/>
      <c r="J78" s="1760"/>
      <c r="K78" s="1760"/>
      <c r="L78" s="1760"/>
      <c r="M78" s="1760"/>
    </row>
    <row r="79" spans="1:13" s="1760" customFormat="1" hidden="1">
      <c r="B79" s="3000"/>
      <c r="C79" s="3000"/>
      <c r="D79" s="3000"/>
      <c r="E79" s="3000"/>
      <c r="F79" s="3000"/>
      <c r="G79" s="3000"/>
      <c r="H79" s="3000"/>
      <c r="I79" s="3000"/>
      <c r="J79" s="3000"/>
      <c r="K79" s="3000"/>
      <c r="L79" s="3000"/>
    </row>
    <row r="80" spans="1:13" s="1760" customFormat="1" hidden="1">
      <c r="B80" s="3000"/>
      <c r="C80" s="3000"/>
      <c r="D80" s="3000"/>
      <c r="E80" s="3000"/>
      <c r="F80" s="3000"/>
      <c r="G80" s="3000"/>
      <c r="H80" s="3000"/>
      <c r="I80" s="3000"/>
      <c r="J80" s="3000"/>
      <c r="K80" s="3000"/>
      <c r="L80" s="3000"/>
    </row>
    <row r="81" spans="1:13" s="1760" customFormat="1" hidden="1">
      <c r="B81" s="3000"/>
      <c r="C81" s="3000"/>
      <c r="D81" s="3000"/>
      <c r="E81" s="3000"/>
      <c r="F81" s="3000"/>
      <c r="G81" s="3000"/>
      <c r="H81" s="3000"/>
      <c r="I81" s="3000"/>
      <c r="J81" s="3000"/>
      <c r="K81" s="3000"/>
      <c r="L81" s="3000"/>
    </row>
    <row r="82" spans="1:13" s="1760" customFormat="1" ht="12" hidden="1" customHeight="1">
      <c r="B82" s="3000"/>
      <c r="C82" s="3000"/>
      <c r="D82" s="3000"/>
      <c r="E82" s="3000"/>
      <c r="F82" s="3000"/>
      <c r="G82" s="3000"/>
      <c r="H82" s="3000"/>
      <c r="I82" s="3000"/>
      <c r="J82" s="3000"/>
      <c r="K82" s="3000"/>
      <c r="L82" s="3000"/>
    </row>
    <row r="83" spans="1:13" s="1760" customFormat="1" ht="12" hidden="1" customHeight="1">
      <c r="B83" s="3000"/>
      <c r="C83" s="3000"/>
      <c r="D83" s="3000"/>
      <c r="E83" s="3000"/>
      <c r="F83" s="3000"/>
      <c r="G83" s="3000"/>
      <c r="H83" s="3000"/>
      <c r="I83" s="3000"/>
      <c r="J83" s="3000"/>
      <c r="K83" s="3000"/>
      <c r="L83" s="3000"/>
    </row>
    <row r="84" spans="1:13" s="1760" customFormat="1" ht="12" hidden="1" customHeight="1">
      <c r="B84" s="3000"/>
      <c r="C84" s="3000"/>
      <c r="D84" s="3000"/>
      <c r="E84" s="3000"/>
      <c r="F84" s="3000"/>
      <c r="G84" s="3000"/>
      <c r="H84" s="3000"/>
      <c r="I84" s="3000"/>
      <c r="J84" s="3000"/>
      <c r="K84" s="3000"/>
      <c r="L84" s="3000"/>
    </row>
    <row r="85" spans="1:13" s="1760" customFormat="1" ht="12" hidden="1" customHeight="1">
      <c r="B85" s="3000"/>
      <c r="C85" s="3000"/>
      <c r="D85" s="3000"/>
      <c r="E85" s="3000"/>
      <c r="F85" s="3000"/>
      <c r="G85" s="3000"/>
      <c r="H85" s="3000"/>
      <c r="I85" s="3000"/>
      <c r="J85" s="3000"/>
      <c r="K85" s="3000"/>
      <c r="L85" s="3000"/>
    </row>
    <row r="86" spans="1:13" s="1760" customFormat="1" ht="12" hidden="1" customHeight="1">
      <c r="B86" s="3000"/>
      <c r="C86" s="3000"/>
      <c r="D86" s="3000"/>
      <c r="E86" s="3000"/>
      <c r="F86" s="3000"/>
      <c r="G86" s="3000"/>
      <c r="H86" s="3000"/>
      <c r="I86" s="3000"/>
      <c r="J86" s="3000"/>
      <c r="K86" s="3000"/>
      <c r="L86" s="3000"/>
    </row>
    <row r="87" spans="1:13" s="1760" customFormat="1" hidden="1">
      <c r="B87" s="3000"/>
      <c r="C87" s="3000"/>
      <c r="D87" s="3000"/>
      <c r="E87" s="3000"/>
      <c r="F87" s="3000"/>
      <c r="G87" s="3000"/>
      <c r="H87" s="3000"/>
      <c r="I87" s="3000"/>
      <c r="J87" s="3000"/>
      <c r="K87" s="3000"/>
      <c r="L87" s="3000"/>
    </row>
    <row r="88" spans="1:13" s="1760" customFormat="1" hidden="1">
      <c r="B88" s="3000"/>
      <c r="C88" s="3000"/>
      <c r="D88" s="3000"/>
      <c r="E88" s="3000"/>
      <c r="F88" s="3000"/>
      <c r="G88" s="3000"/>
      <c r="H88" s="3000"/>
      <c r="I88" s="3000"/>
      <c r="J88" s="3000"/>
      <c r="K88" s="3000"/>
      <c r="L88" s="3000"/>
    </row>
    <row r="89" spans="1:13" s="1760" customFormat="1" hidden="1">
      <c r="B89" s="3000"/>
      <c r="C89" s="3000"/>
      <c r="D89" s="3000"/>
      <c r="E89" s="3000"/>
      <c r="F89" s="3000"/>
      <c r="G89" s="3000"/>
      <c r="H89" s="3000"/>
      <c r="I89" s="3000"/>
      <c r="J89" s="3000"/>
      <c r="K89" s="3000"/>
      <c r="L89" s="3000"/>
    </row>
    <row r="90" spans="1:13" ht="16.5" hidden="1" customHeight="1">
      <c r="A90" s="1760"/>
      <c r="B90" s="1760"/>
      <c r="C90" s="1779"/>
      <c r="D90" s="1779"/>
      <c r="E90" s="1779"/>
      <c r="F90" s="1779"/>
      <c r="G90" s="1779"/>
      <c r="H90" s="1780"/>
      <c r="I90" s="1779"/>
      <c r="J90" s="1779"/>
      <c r="K90" s="1779"/>
      <c r="L90" s="1779"/>
      <c r="M90" s="1779"/>
    </row>
    <row r="91" spans="1:13" ht="16.5" customHeight="1">
      <c r="A91" s="1760"/>
      <c r="B91" s="1760"/>
      <c r="C91" s="1779"/>
      <c r="D91" s="1779"/>
      <c r="E91" s="1779"/>
      <c r="F91" s="1779"/>
      <c r="G91" s="1779"/>
      <c r="H91" s="1780"/>
      <c r="I91" s="1779"/>
      <c r="J91" s="1779"/>
      <c r="K91" s="1779"/>
      <c r="L91" s="1779"/>
      <c r="M91" s="1779"/>
    </row>
    <row r="92" spans="1:13">
      <c r="A92" s="1760"/>
      <c r="C92" s="1760"/>
      <c r="D92" s="1760"/>
      <c r="E92" s="1760"/>
      <c r="F92" s="1760"/>
      <c r="G92" s="1760"/>
      <c r="I92" s="1760"/>
      <c r="J92" s="1760"/>
      <c r="K92" s="1760"/>
      <c r="L92" s="1760"/>
    </row>
    <row r="93" spans="1:13">
      <c r="A93" s="1760"/>
      <c r="B93" s="1760"/>
      <c r="C93" s="1760"/>
      <c r="D93" s="1760"/>
      <c r="E93" s="1760"/>
      <c r="F93" s="1760"/>
      <c r="G93" s="1760"/>
      <c r="I93" s="1760"/>
      <c r="J93" s="1760"/>
      <c r="K93" s="1760"/>
      <c r="L93" s="1760"/>
    </row>
    <row r="94" spans="1:13">
      <c r="A94" s="1760"/>
      <c r="B94" s="1760"/>
      <c r="C94" s="1760"/>
      <c r="D94" s="1760"/>
      <c r="E94" s="1760"/>
      <c r="F94" s="1760"/>
      <c r="G94" s="1760"/>
      <c r="I94" s="1760"/>
      <c r="J94" s="1760"/>
      <c r="K94" s="1760"/>
      <c r="L94" s="1760"/>
    </row>
    <row r="126" ht="16.5" customHeight="1"/>
  </sheetData>
  <mergeCells count="18">
    <mergeCell ref="B85:L85"/>
    <mergeCell ref="B86:L86"/>
    <mergeCell ref="B87:L87"/>
    <mergeCell ref="B88:L88"/>
    <mergeCell ref="B89:L89"/>
    <mergeCell ref="L62:L63"/>
    <mergeCell ref="B84:L84"/>
    <mergeCell ref="B6:B7"/>
    <mergeCell ref="C6:K6"/>
    <mergeCell ref="L6:L7"/>
    <mergeCell ref="B79:L79"/>
    <mergeCell ref="B80:L80"/>
    <mergeCell ref="B81:L81"/>
    <mergeCell ref="B82:L82"/>
    <mergeCell ref="B83:L83"/>
    <mergeCell ref="B60:L60"/>
    <mergeCell ref="B62:B63"/>
    <mergeCell ref="C62:K62"/>
  </mergeCells>
  <phoneticPr fontId="6" type="noConversion"/>
  <pageMargins left="0.7" right="0.7" top="0.75" bottom="0.75" header="0.3" footer="0.3"/>
  <pageSetup paperSize="9" scale="6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A1:BQ87"/>
  <sheetViews>
    <sheetView showGridLines="0" view="pageBreakPreview" zoomScale="70" zoomScaleNormal="100" zoomScaleSheetLayoutView="70" workbookViewId="0">
      <selection activeCell="B6" sqref="B6:M7"/>
    </sheetView>
  </sheetViews>
  <sheetFormatPr defaultColWidth="9" defaultRowHeight="16.5"/>
  <cols>
    <col min="1" max="1" width="2.75" style="67" customWidth="1"/>
    <col min="2" max="2" width="9.5" style="74" customWidth="1"/>
    <col min="3" max="3" width="22.5" style="74" customWidth="1"/>
    <col min="4" max="4" width="14.375" style="75" customWidth="1"/>
    <col min="5" max="5" width="11.875" style="74" bestFit="1" customWidth="1"/>
    <col min="6" max="6" width="11.125" style="74" customWidth="1"/>
    <col min="7" max="7" width="15.25" style="74" customWidth="1"/>
    <col min="8" max="8" width="14.125" style="74" customWidth="1"/>
    <col min="9" max="9" width="5.375" style="74" bestFit="1" customWidth="1"/>
    <col min="10" max="10" width="10.125" style="74" bestFit="1" customWidth="1"/>
    <col min="11" max="11" width="35.625" style="74" customWidth="1"/>
    <col min="12" max="12" width="21.75" style="71" customWidth="1"/>
    <col min="13" max="13" width="12.875" style="74" customWidth="1"/>
    <col min="14" max="14" width="2.875" style="74" hidden="1" customWidth="1"/>
    <col min="15" max="16" width="14.375" style="125" hidden="1" customWidth="1"/>
    <col min="17" max="17" width="15.25" style="125" hidden="1" customWidth="1"/>
    <col min="18" max="18" width="18.125" style="122" hidden="1" customWidth="1"/>
    <col min="19" max="23" width="0" style="125" hidden="1" customWidth="1"/>
    <col min="24" max="62" width="0" style="74" hidden="1" customWidth="1"/>
    <col min="63" max="65" width="15.375" style="74" customWidth="1"/>
    <col min="66" max="66" width="21.75" style="74" customWidth="1"/>
    <col min="67" max="16384" width="9" style="74"/>
  </cols>
  <sheetData>
    <row r="1" spans="1:69" s="68" customFormat="1" ht="14.25" customHeight="1">
      <c r="A1" s="67"/>
      <c r="B1" s="119"/>
      <c r="C1" s="119"/>
      <c r="D1" s="120">
        <v>15775100</v>
      </c>
      <c r="E1" s="119"/>
      <c r="F1" s="119"/>
      <c r="G1" s="119"/>
      <c r="H1" s="119"/>
      <c r="I1" s="119"/>
      <c r="J1" s="119"/>
      <c r="K1" s="119"/>
      <c r="L1" s="121"/>
      <c r="O1" s="123"/>
      <c r="P1" s="123"/>
      <c r="Q1" s="123"/>
      <c r="R1" s="127"/>
      <c r="S1" s="123"/>
      <c r="T1" s="123"/>
      <c r="U1" s="123"/>
      <c r="V1" s="123"/>
      <c r="W1" s="123"/>
    </row>
    <row r="2" spans="1:69" s="69" customFormat="1" ht="27" customHeight="1">
      <c r="A2" s="919"/>
      <c r="B2" s="2116" t="s">
        <v>2044</v>
      </c>
      <c r="C2" s="921"/>
      <c r="D2" s="922"/>
      <c r="E2" s="920"/>
      <c r="F2" s="920"/>
      <c r="G2" s="920"/>
      <c r="H2" s="922"/>
      <c r="I2" s="920"/>
      <c r="J2" s="920"/>
      <c r="K2" s="923"/>
      <c r="L2" s="907"/>
      <c r="M2" s="920"/>
      <c r="O2" s="81"/>
      <c r="P2" s="81"/>
      <c r="Q2" s="81"/>
      <c r="R2" s="128"/>
      <c r="S2" s="81"/>
      <c r="T2" s="81"/>
      <c r="U2" s="81"/>
      <c r="V2" s="81"/>
      <c r="W2" s="81"/>
    </row>
    <row r="3" spans="1:69" s="73" customFormat="1" ht="19.5" customHeight="1">
      <c r="A3" s="72"/>
      <c r="D3" s="70"/>
      <c r="E3" s="69"/>
      <c r="G3" s="69"/>
      <c r="H3" s="70"/>
      <c r="I3" s="69"/>
      <c r="L3" s="71"/>
      <c r="O3" s="124"/>
      <c r="P3" s="124"/>
      <c r="Q3" s="124"/>
      <c r="R3" s="129"/>
      <c r="S3" s="124"/>
      <c r="T3" s="124"/>
      <c r="U3" s="124"/>
      <c r="V3" s="124"/>
      <c r="W3" s="124"/>
    </row>
    <row r="4" spans="1:69" ht="15" customHeight="1">
      <c r="B4" s="79" t="s">
        <v>1190</v>
      </c>
      <c r="D4" s="80"/>
      <c r="E4" s="81"/>
      <c r="F4" s="81"/>
      <c r="H4" s="81"/>
      <c r="I4" s="81"/>
      <c r="J4" s="81"/>
      <c r="K4" s="82"/>
      <c r="L4" s="83"/>
      <c r="M4" s="84" t="s">
        <v>1191</v>
      </c>
    </row>
    <row r="5" spans="1:69" ht="5.25" customHeight="1">
      <c r="L5" s="85"/>
    </row>
    <row r="6" spans="1:69" s="77" customFormat="1" ht="21" customHeight="1">
      <c r="A6" s="76"/>
      <c r="B6" s="3007" t="s">
        <v>314</v>
      </c>
      <c r="C6" s="3007" t="s">
        <v>1192</v>
      </c>
      <c r="D6" s="3008" t="s">
        <v>1193</v>
      </c>
      <c r="E6" s="3008"/>
      <c r="F6" s="3009" t="s">
        <v>1194</v>
      </c>
      <c r="G6" s="3007" t="s">
        <v>1195</v>
      </c>
      <c r="H6" s="3007" t="s">
        <v>1196</v>
      </c>
      <c r="I6" s="3007" t="s">
        <v>314</v>
      </c>
      <c r="J6" s="3007" t="s">
        <v>2135</v>
      </c>
      <c r="K6" s="3010" t="s">
        <v>1197</v>
      </c>
      <c r="L6" s="3011" t="s">
        <v>1198</v>
      </c>
      <c r="M6" s="3011" t="s">
        <v>1199</v>
      </c>
      <c r="N6" s="2336"/>
      <c r="O6" s="2336"/>
      <c r="P6" s="2336"/>
      <c r="Q6" s="2336"/>
      <c r="R6" s="2336"/>
      <c r="S6" s="2337"/>
      <c r="T6" s="2337"/>
      <c r="U6" s="2337"/>
      <c r="V6" s="2337"/>
      <c r="W6" s="2337"/>
      <c r="X6" s="2337"/>
      <c r="Y6" s="2337"/>
      <c r="Z6" s="2337"/>
      <c r="AA6" s="2336"/>
      <c r="AB6" s="2336"/>
      <c r="AC6" s="2336"/>
      <c r="AD6" s="2336"/>
      <c r="AE6" s="2336"/>
      <c r="AF6" s="2336"/>
      <c r="AG6" s="2336"/>
      <c r="AH6" s="2336"/>
      <c r="AI6" s="2336"/>
      <c r="AJ6" s="2336"/>
      <c r="AK6" s="2338"/>
      <c r="AL6" s="2338"/>
      <c r="AM6" s="2338"/>
      <c r="AN6" s="2338"/>
      <c r="AO6" s="2338"/>
      <c r="AP6" s="2338"/>
      <c r="AQ6" s="2338"/>
      <c r="AR6" s="2338"/>
      <c r="AS6" s="2338"/>
      <c r="AT6" s="2337"/>
      <c r="AU6" s="2338"/>
      <c r="AV6" s="2338"/>
      <c r="AW6" s="2336"/>
      <c r="AX6" s="2336"/>
      <c r="AY6" s="2336"/>
      <c r="AZ6" s="2338"/>
      <c r="BA6" s="2338"/>
      <c r="BB6" s="2338"/>
      <c r="BC6" s="2338"/>
      <c r="BD6" s="2338"/>
      <c r="BE6" s="2338"/>
      <c r="BF6" s="2338"/>
      <c r="BG6" s="2338"/>
      <c r="BH6" s="2338"/>
      <c r="BI6" s="2338"/>
      <c r="BJ6" s="2338"/>
      <c r="BK6" s="3006" t="s">
        <v>1200</v>
      </c>
      <c r="BL6" s="3006"/>
      <c r="BM6" s="3006"/>
      <c r="BN6" s="2339"/>
    </row>
    <row r="7" spans="1:69" s="77" customFormat="1" ht="21" customHeight="1">
      <c r="A7" s="67"/>
      <c r="B7" s="3007"/>
      <c r="C7" s="3007"/>
      <c r="D7" s="2340" t="s">
        <v>1201</v>
      </c>
      <c r="E7" s="2340" t="s">
        <v>1202</v>
      </c>
      <c r="F7" s="3009"/>
      <c r="G7" s="3007"/>
      <c r="H7" s="3007"/>
      <c r="I7" s="3007"/>
      <c r="J7" s="3007"/>
      <c r="K7" s="3010"/>
      <c r="L7" s="3011"/>
      <c r="M7" s="3011"/>
      <c r="N7" s="2337" t="s">
        <v>1203</v>
      </c>
      <c r="O7" s="2337" t="s">
        <v>1204</v>
      </c>
      <c r="P7" s="2337" t="s">
        <v>1205</v>
      </c>
      <c r="Q7" s="2337" t="s">
        <v>1206</v>
      </c>
      <c r="R7" s="2337" t="s">
        <v>1207</v>
      </c>
      <c r="S7" s="2337" t="s">
        <v>1208</v>
      </c>
      <c r="T7" s="2337" t="s">
        <v>1209</v>
      </c>
      <c r="U7" s="2337" t="s">
        <v>1210</v>
      </c>
      <c r="V7" s="2337" t="s">
        <v>1211</v>
      </c>
      <c r="W7" s="2337" t="s">
        <v>1212</v>
      </c>
      <c r="X7" s="2337" t="s">
        <v>1213</v>
      </c>
      <c r="Y7" s="2337" t="s">
        <v>1214</v>
      </c>
      <c r="Z7" s="2337" t="s">
        <v>1215</v>
      </c>
      <c r="AA7" s="2337" t="s">
        <v>1216</v>
      </c>
      <c r="AB7" s="2337" t="s">
        <v>1217</v>
      </c>
      <c r="AC7" s="2337" t="s">
        <v>1218</v>
      </c>
      <c r="AD7" s="2337" t="s">
        <v>1219</v>
      </c>
      <c r="AE7" s="2337" t="s">
        <v>1220</v>
      </c>
      <c r="AF7" s="2337" t="s">
        <v>1221</v>
      </c>
      <c r="AG7" s="2337" t="s">
        <v>1222</v>
      </c>
      <c r="AH7" s="2337" t="s">
        <v>1223</v>
      </c>
      <c r="AI7" s="2337" t="s">
        <v>1224</v>
      </c>
      <c r="AJ7" s="2337" t="s">
        <v>1225</v>
      </c>
      <c r="AK7" s="2337" t="s">
        <v>1226</v>
      </c>
      <c r="AL7" s="2337" t="s">
        <v>1227</v>
      </c>
      <c r="AM7" s="2337" t="s">
        <v>1228</v>
      </c>
      <c r="AN7" s="2337" t="s">
        <v>1229</v>
      </c>
      <c r="AO7" s="2337" t="s">
        <v>1230</v>
      </c>
      <c r="AP7" s="2337" t="s">
        <v>1231</v>
      </c>
      <c r="AQ7" s="2337" t="s">
        <v>1232</v>
      </c>
      <c r="AR7" s="2337" t="s">
        <v>1233</v>
      </c>
      <c r="AS7" s="2337" t="s">
        <v>1234</v>
      </c>
      <c r="AT7" s="2337" t="s">
        <v>1235</v>
      </c>
      <c r="AU7" s="2337" t="s">
        <v>1236</v>
      </c>
      <c r="AV7" s="2337" t="s">
        <v>1237</v>
      </c>
      <c r="AW7" s="2337" t="s">
        <v>1238</v>
      </c>
      <c r="AX7" s="2337" t="s">
        <v>1239</v>
      </c>
      <c r="AY7" s="2341" t="s">
        <v>1240</v>
      </c>
      <c r="AZ7" s="2341" t="s">
        <v>1241</v>
      </c>
      <c r="BA7" s="2341" t="s">
        <v>1242</v>
      </c>
      <c r="BB7" s="2341" t="s">
        <v>1243</v>
      </c>
      <c r="BC7" s="2341" t="s">
        <v>1244</v>
      </c>
      <c r="BD7" s="2341" t="s">
        <v>1245</v>
      </c>
      <c r="BE7" s="2341" t="s">
        <v>1246</v>
      </c>
      <c r="BF7" s="2341" t="s">
        <v>1247</v>
      </c>
      <c r="BG7" s="2341" t="s">
        <v>1248</v>
      </c>
      <c r="BH7" s="2341" t="s">
        <v>1249</v>
      </c>
      <c r="BI7" s="2341" t="s">
        <v>1250</v>
      </c>
      <c r="BJ7" s="2341" t="s">
        <v>1251</v>
      </c>
      <c r="BK7" s="2342" t="s">
        <v>1252</v>
      </c>
      <c r="BL7" s="2342" t="s">
        <v>1253</v>
      </c>
      <c r="BM7" s="2342" t="s">
        <v>1254</v>
      </c>
      <c r="BN7" s="2343" t="s">
        <v>289</v>
      </c>
      <c r="BO7" s="74"/>
      <c r="BP7" s="74"/>
      <c r="BQ7" s="74"/>
    </row>
    <row r="8" spans="1:69" s="140" customFormat="1" ht="17.25" customHeight="1">
      <c r="A8" s="67"/>
      <c r="B8" s="207" t="s">
        <v>1255</v>
      </c>
      <c r="C8" s="208" t="s">
        <v>1256</v>
      </c>
      <c r="D8" s="209">
        <v>44836</v>
      </c>
      <c r="E8" s="209">
        <v>45932</v>
      </c>
      <c r="F8" s="210">
        <f>IF(AND(D8="",E8=""),0,E8-D8)</f>
        <v>1096</v>
      </c>
      <c r="G8" s="208" t="s">
        <v>1257</v>
      </c>
      <c r="H8" s="208" t="s">
        <v>1258</v>
      </c>
      <c r="I8" s="208" t="s">
        <v>1259</v>
      </c>
      <c r="J8" s="208" t="s">
        <v>1260</v>
      </c>
      <c r="K8" s="211" t="s">
        <v>1261</v>
      </c>
      <c r="L8" s="263">
        <v>159188500</v>
      </c>
      <c r="M8" s="264">
        <v>4.9599999999999998E-2</v>
      </c>
      <c r="N8" s="265"/>
      <c r="O8" s="266"/>
      <c r="P8" s="266"/>
      <c r="Q8" s="266"/>
      <c r="R8" s="266"/>
      <c r="S8" s="266"/>
      <c r="T8" s="266" t="s">
        <v>1262</v>
      </c>
      <c r="U8" s="267"/>
      <c r="V8" s="267"/>
      <c r="W8" s="267"/>
      <c r="X8" s="267"/>
      <c r="Y8" s="267"/>
      <c r="Z8" s="267"/>
      <c r="AA8" s="267"/>
      <c r="AB8" s="267"/>
      <c r="AC8" s="267"/>
      <c r="AD8" s="267"/>
      <c r="AE8" s="267"/>
      <c r="AF8" s="267"/>
      <c r="AG8" s="267"/>
      <c r="AH8" s="267"/>
      <c r="AI8" s="267"/>
      <c r="AJ8" s="267"/>
      <c r="AK8" s="267"/>
      <c r="AL8" s="267"/>
      <c r="AM8" s="267"/>
      <c r="AN8" s="267" t="s">
        <v>1262</v>
      </c>
      <c r="AO8" s="267"/>
      <c r="AP8" s="267"/>
      <c r="AQ8" s="267"/>
      <c r="AR8" s="267"/>
      <c r="AS8" s="267"/>
      <c r="AT8" s="267"/>
      <c r="AU8" s="267"/>
      <c r="AV8" s="267"/>
      <c r="AW8" s="267"/>
      <c r="AX8" s="267"/>
      <c r="AY8" s="267"/>
      <c r="AZ8" s="267"/>
      <c r="BA8" s="267"/>
      <c r="BB8" s="267"/>
      <c r="BC8" s="267"/>
      <c r="BD8" s="267"/>
      <c r="BE8" s="267"/>
      <c r="BF8" s="267"/>
      <c r="BG8" s="267"/>
      <c r="BH8" s="267"/>
      <c r="BI8" s="267"/>
      <c r="BJ8" s="266"/>
      <c r="BK8" s="178">
        <f>+L8</f>
        <v>159188500</v>
      </c>
      <c r="BL8" s="268">
        <v>92038000</v>
      </c>
      <c r="BM8" s="179">
        <f>+BK8-BL8</f>
        <v>67150500</v>
      </c>
      <c r="BN8" s="180" t="s">
        <v>1263</v>
      </c>
      <c r="BO8" s="71"/>
      <c r="BP8" s="71"/>
    </row>
    <row r="9" spans="1:69" s="133" customFormat="1" ht="17.25" customHeight="1">
      <c r="A9" s="67"/>
      <c r="B9" s="269">
        <v>25</v>
      </c>
      <c r="C9" s="1938" t="s">
        <v>1264</v>
      </c>
      <c r="D9" s="1939">
        <v>44839</v>
      </c>
      <c r="E9" s="1939">
        <v>45935</v>
      </c>
      <c r="F9" s="1940">
        <f>IF(AND(D9="",E9=""),0,E9-D9)</f>
        <v>1096</v>
      </c>
      <c r="G9" s="1938" t="s">
        <v>1257</v>
      </c>
      <c r="H9" s="1938" t="s">
        <v>1265</v>
      </c>
      <c r="I9" s="1938" t="s">
        <v>1266</v>
      </c>
      <c r="J9" s="1938" t="s">
        <v>1260</v>
      </c>
      <c r="K9" s="1941" t="s">
        <v>1267</v>
      </c>
      <c r="L9" s="1942">
        <v>105853000</v>
      </c>
      <c r="M9" s="270">
        <v>4.9599999999999998E-2</v>
      </c>
      <c r="N9" s="271"/>
      <c r="O9" s="1943"/>
      <c r="P9" s="1943"/>
      <c r="Q9" s="1943"/>
      <c r="R9" s="1943"/>
      <c r="S9" s="1943"/>
      <c r="T9" s="1943"/>
      <c r="U9" s="1943"/>
      <c r="V9" s="1943"/>
      <c r="W9" s="1943"/>
      <c r="X9" s="1943"/>
      <c r="Y9" s="1943"/>
      <c r="Z9" s="1943"/>
      <c r="AA9" s="1943"/>
      <c r="AB9" s="1943"/>
      <c r="AC9" s="1943"/>
      <c r="AD9" s="1943"/>
      <c r="AE9" s="1943"/>
      <c r="AF9" s="1943"/>
      <c r="AG9" s="1943"/>
      <c r="AH9" s="1943"/>
      <c r="AI9" s="1943"/>
      <c r="AJ9" s="1943"/>
      <c r="AK9" s="1943"/>
      <c r="AL9" s="1943"/>
      <c r="AM9" s="1943"/>
      <c r="AN9" s="1943"/>
      <c r="AO9" s="1943"/>
      <c r="AP9" s="1943"/>
      <c r="AQ9" s="1943"/>
      <c r="AR9" s="1943"/>
      <c r="AS9" s="1943"/>
      <c r="AT9" s="1943"/>
      <c r="AU9" s="1943"/>
      <c r="AV9" s="1943"/>
      <c r="AW9" s="1943"/>
      <c r="AX9" s="1943"/>
      <c r="AY9" s="1944"/>
      <c r="AZ9" s="1943"/>
      <c r="BA9" s="1943"/>
      <c r="BB9" s="1943"/>
      <c r="BC9" s="1943"/>
      <c r="BD9" s="1943"/>
      <c r="BE9" s="1943"/>
      <c r="BF9" s="1943"/>
      <c r="BG9" s="1943"/>
      <c r="BH9" s="1943"/>
      <c r="BI9" s="1943"/>
      <c r="BJ9" s="1945"/>
      <c r="BK9" s="181"/>
      <c r="BL9" s="182"/>
      <c r="BM9" s="182"/>
      <c r="BN9" s="183"/>
      <c r="BO9" s="132"/>
      <c r="BP9" s="68"/>
    </row>
    <row r="10" spans="1:69" s="133" customFormat="1" ht="17.25" customHeight="1">
      <c r="A10" s="67"/>
      <c r="B10" s="269">
        <v>9</v>
      </c>
      <c r="C10" s="1938" t="s">
        <v>1268</v>
      </c>
      <c r="D10" s="1939">
        <v>44484</v>
      </c>
      <c r="E10" s="1939">
        <v>45580</v>
      </c>
      <c r="F10" s="1940">
        <f>IF(AND(D10="",E10=""),0,E10-D10)</f>
        <v>1096</v>
      </c>
      <c r="G10" s="1938" t="s">
        <v>1257</v>
      </c>
      <c r="H10" s="1938" t="s">
        <v>1269</v>
      </c>
      <c r="I10" s="1938" t="s">
        <v>1266</v>
      </c>
      <c r="J10" s="1938" t="s">
        <v>1260</v>
      </c>
      <c r="K10" s="1946" t="s">
        <v>1270</v>
      </c>
      <c r="L10" s="1942">
        <v>32175000</v>
      </c>
      <c r="M10" s="270">
        <v>2.06E-2</v>
      </c>
      <c r="N10" s="272"/>
      <c r="O10" s="1947"/>
      <c r="P10" s="1947"/>
      <c r="Q10" s="1947"/>
      <c r="R10" s="1947"/>
      <c r="S10" s="1947"/>
      <c r="T10" s="1947"/>
      <c r="U10" s="1948"/>
      <c r="V10" s="1948"/>
      <c r="W10" s="1948"/>
      <c r="X10" s="1948"/>
      <c r="Y10" s="1948"/>
      <c r="Z10" s="1948"/>
      <c r="AA10" s="1948"/>
      <c r="AB10" s="1948"/>
      <c r="AC10" s="1948"/>
      <c r="AD10" s="1948"/>
      <c r="AE10" s="1948"/>
      <c r="AF10" s="1948"/>
      <c r="AG10" s="1948"/>
      <c r="AH10" s="1948"/>
      <c r="AI10" s="1948"/>
      <c r="AJ10" s="1948"/>
      <c r="AK10" s="1948"/>
      <c r="AL10" s="1948"/>
      <c r="AM10" s="1948"/>
      <c r="AN10" s="1948"/>
      <c r="AO10" s="1948"/>
      <c r="AP10" s="1948"/>
      <c r="AQ10" s="1948"/>
      <c r="AR10" s="1948"/>
      <c r="AS10" s="1948"/>
      <c r="AT10" s="1948"/>
      <c r="AU10" s="1948"/>
      <c r="AV10" s="1948"/>
      <c r="AW10" s="1948"/>
      <c r="AX10" s="1948"/>
      <c r="AY10" s="1948"/>
      <c r="AZ10" s="1948"/>
      <c r="BA10" s="1948"/>
      <c r="BB10" s="1948"/>
      <c r="BC10" s="1948"/>
      <c r="BD10" s="1948"/>
      <c r="BE10" s="1948"/>
      <c r="BF10" s="1948"/>
      <c r="BG10" s="1948"/>
      <c r="BH10" s="1948"/>
      <c r="BI10" s="1948"/>
      <c r="BJ10" s="1947"/>
      <c r="BK10" s="184"/>
      <c r="BL10" s="185"/>
      <c r="BM10" s="185"/>
      <c r="BN10" s="186"/>
      <c r="BO10" s="71"/>
      <c r="BP10" s="68"/>
    </row>
    <row r="11" spans="1:69" s="133" customFormat="1" ht="17.25" customHeight="1">
      <c r="A11" s="67"/>
      <c r="B11" s="273">
        <v>32</v>
      </c>
      <c r="C11" s="1949" t="s">
        <v>1271</v>
      </c>
      <c r="D11" s="1950">
        <v>44499</v>
      </c>
      <c r="E11" s="1950">
        <v>45595</v>
      </c>
      <c r="F11" s="1951">
        <f t="shared" ref="F11:F29" si="0">IF(AND(D11="",E11=""),0,E11-D11)</f>
        <v>1096</v>
      </c>
      <c r="G11" s="1949" t="s">
        <v>1257</v>
      </c>
      <c r="H11" s="1949" t="s">
        <v>1272</v>
      </c>
      <c r="I11" s="1949" t="s">
        <v>1266</v>
      </c>
      <c r="J11" s="1949" t="s">
        <v>1260</v>
      </c>
      <c r="K11" s="1952" t="s">
        <v>1273</v>
      </c>
      <c r="L11" s="1953">
        <v>53806100</v>
      </c>
      <c r="M11" s="274">
        <v>2.3199999999999998E-2</v>
      </c>
      <c r="N11" s="275"/>
      <c r="O11" s="1954"/>
      <c r="P11" s="1954"/>
      <c r="Q11" s="1954"/>
      <c r="R11" s="1954"/>
      <c r="S11" s="1954"/>
      <c r="T11" s="1954"/>
      <c r="U11" s="1955"/>
      <c r="V11" s="1955"/>
      <c r="W11" s="1955"/>
      <c r="X11" s="1955"/>
      <c r="Y11" s="1955"/>
      <c r="Z11" s="1955"/>
      <c r="AA11" s="1955"/>
      <c r="AB11" s="1955"/>
      <c r="AC11" s="1955"/>
      <c r="AD11" s="1955"/>
      <c r="AE11" s="1955"/>
      <c r="AF11" s="1955"/>
      <c r="AG11" s="1955"/>
      <c r="AH11" s="1955"/>
      <c r="AI11" s="1955"/>
      <c r="AJ11" s="1955"/>
      <c r="AK11" s="1955"/>
      <c r="AL11" s="1955"/>
      <c r="AM11" s="1955"/>
      <c r="AN11" s="1955"/>
      <c r="AO11" s="1955"/>
      <c r="AP11" s="1955"/>
      <c r="AQ11" s="1955"/>
      <c r="AR11" s="1955"/>
      <c r="AS11" s="1955"/>
      <c r="AT11" s="1955"/>
      <c r="AU11" s="1955"/>
      <c r="AV11" s="1955"/>
      <c r="AW11" s="1955"/>
      <c r="AX11" s="1955"/>
      <c r="AY11" s="1955"/>
      <c r="AZ11" s="1954"/>
      <c r="BA11" s="1954"/>
      <c r="BB11" s="1954"/>
      <c r="BC11" s="1954"/>
      <c r="BD11" s="1954"/>
      <c r="BE11" s="1954"/>
      <c r="BF11" s="1954"/>
      <c r="BG11" s="1954"/>
      <c r="BH11" s="1954"/>
      <c r="BI11" s="1954"/>
      <c r="BJ11" s="1954"/>
      <c r="BK11" s="276">
        <f>+L11</f>
        <v>53806100</v>
      </c>
      <c r="BL11" s="277">
        <v>53806100</v>
      </c>
      <c r="BM11" s="278">
        <f>+BK11-BL11</f>
        <v>0</v>
      </c>
      <c r="BN11" s="279" t="s">
        <v>1274</v>
      </c>
      <c r="BO11" s="1956"/>
      <c r="BP11" s="68"/>
    </row>
    <row r="12" spans="1:69" s="77" customFormat="1" ht="17.25" customHeight="1">
      <c r="A12" s="67"/>
      <c r="B12" s="269">
        <v>6</v>
      </c>
      <c r="C12" s="1938" t="s">
        <v>1275</v>
      </c>
      <c r="D12" s="1939">
        <v>44516</v>
      </c>
      <c r="E12" s="1939">
        <v>45612</v>
      </c>
      <c r="F12" s="1940">
        <f>IF(AND(D12="",E12=""),0,E12-D12)</f>
        <v>1096</v>
      </c>
      <c r="G12" s="1938" t="s">
        <v>1257</v>
      </c>
      <c r="H12" s="1938" t="s">
        <v>1276</v>
      </c>
      <c r="I12" s="1938" t="s">
        <v>1266</v>
      </c>
      <c r="J12" s="1938" t="s">
        <v>1260</v>
      </c>
      <c r="K12" s="1957" t="s">
        <v>1277</v>
      </c>
      <c r="L12" s="1958">
        <v>132874500</v>
      </c>
      <c r="M12" s="270">
        <v>2.1600000000000001E-2</v>
      </c>
      <c r="N12" s="131"/>
      <c r="O12" s="131"/>
      <c r="P12" s="131"/>
      <c r="Q12" s="131"/>
      <c r="R12" s="131"/>
      <c r="S12" s="131"/>
      <c r="T12" s="1947"/>
      <c r="U12" s="1948"/>
      <c r="V12" s="1948"/>
      <c r="W12" s="1948"/>
      <c r="X12" s="1948"/>
      <c r="Y12" s="1948"/>
      <c r="Z12" s="1948"/>
      <c r="AA12" s="1948"/>
      <c r="AB12" s="1948"/>
      <c r="AC12" s="1948"/>
      <c r="AD12" s="1948"/>
      <c r="AE12" s="1948"/>
      <c r="AF12" s="1948"/>
      <c r="AG12" s="1948"/>
      <c r="AH12" s="1948"/>
      <c r="AI12" s="1948"/>
      <c r="AJ12" s="1948"/>
      <c r="AK12" s="1948"/>
      <c r="AL12" s="1948"/>
      <c r="AM12" s="1948"/>
      <c r="AN12" s="1948"/>
      <c r="AO12" s="1948"/>
      <c r="AP12" s="1948"/>
      <c r="AQ12" s="1948"/>
      <c r="AR12" s="1948"/>
      <c r="AS12" s="1948"/>
      <c r="AT12" s="1948"/>
      <c r="AU12" s="1948"/>
      <c r="AV12" s="1948"/>
      <c r="AW12" s="1948"/>
      <c r="AX12" s="1948"/>
      <c r="AY12" s="1948"/>
      <c r="AZ12" s="1959"/>
      <c r="BA12" s="1959"/>
      <c r="BB12" s="1959"/>
      <c r="BC12" s="1959"/>
      <c r="BD12" s="1959"/>
      <c r="BE12" s="1959"/>
      <c r="BF12" s="1959"/>
      <c r="BG12" s="1959"/>
      <c r="BH12" s="1959"/>
      <c r="BI12" s="1959"/>
      <c r="BJ12" s="1959"/>
      <c r="BK12" s="184"/>
      <c r="BL12" s="187"/>
      <c r="BM12" s="187"/>
      <c r="BN12" s="188"/>
      <c r="BO12" s="71"/>
      <c r="BP12" s="68"/>
    </row>
    <row r="13" spans="1:69" s="133" customFormat="1" ht="17.25" customHeight="1">
      <c r="A13" s="67"/>
      <c r="B13" s="269">
        <v>25</v>
      </c>
      <c r="C13" s="1938" t="s">
        <v>397</v>
      </c>
      <c r="D13" s="1939">
        <v>44540</v>
      </c>
      <c r="E13" s="1939">
        <v>45636</v>
      </c>
      <c r="F13" s="1940">
        <f>IF(AND(D13="",E13=""),0,E13-D13)</f>
        <v>1096</v>
      </c>
      <c r="G13" s="1938" t="s">
        <v>1257</v>
      </c>
      <c r="H13" s="1938" t="s">
        <v>1278</v>
      </c>
      <c r="I13" s="1938" t="s">
        <v>1279</v>
      </c>
      <c r="J13" s="1938" t="s">
        <v>1260</v>
      </c>
      <c r="K13" s="1941" t="s">
        <v>398</v>
      </c>
      <c r="L13" s="1942">
        <v>5505000</v>
      </c>
      <c r="M13" s="270">
        <v>2.1999999999999999E-2</v>
      </c>
      <c r="N13" s="272"/>
      <c r="O13" s="1947"/>
      <c r="P13" s="1947"/>
      <c r="Q13" s="1947"/>
      <c r="R13" s="1947"/>
      <c r="S13" s="1947"/>
      <c r="T13" s="1947"/>
      <c r="U13" s="1948" t="s">
        <v>1280</v>
      </c>
      <c r="V13" s="1948"/>
      <c r="W13" s="1948"/>
      <c r="X13" s="1948"/>
      <c r="Y13" s="1948"/>
      <c r="Z13" s="1948"/>
      <c r="AA13" s="1948"/>
      <c r="AB13" s="1948"/>
      <c r="AC13" s="1948"/>
      <c r="AD13" s="1948"/>
      <c r="AE13" s="1948"/>
      <c r="AF13" s="1948"/>
      <c r="AG13" s="1948"/>
      <c r="AH13" s="1948"/>
      <c r="AI13" s="1948"/>
      <c r="AJ13" s="1948"/>
      <c r="AK13" s="1948"/>
      <c r="AL13" s="1948"/>
      <c r="AM13" s="1948"/>
      <c r="AN13" s="1948"/>
      <c r="AO13" s="1948" t="s">
        <v>1280</v>
      </c>
      <c r="AP13" s="1948"/>
      <c r="AQ13" s="1948"/>
      <c r="AR13" s="1948"/>
      <c r="AS13" s="1948"/>
      <c r="AT13" s="1948"/>
      <c r="AU13" s="1948"/>
      <c r="AV13" s="1948"/>
      <c r="AW13" s="1948"/>
      <c r="AX13" s="1948"/>
      <c r="AY13" s="1948"/>
      <c r="AZ13" s="1948"/>
      <c r="BA13" s="1948"/>
      <c r="BB13" s="1948"/>
      <c r="BC13" s="1948"/>
      <c r="BD13" s="1948"/>
      <c r="BE13" s="1948"/>
      <c r="BF13" s="1948"/>
      <c r="BG13" s="1948"/>
      <c r="BH13" s="1948"/>
      <c r="BI13" s="1948"/>
      <c r="BJ13" s="1947"/>
      <c r="BK13" s="184"/>
      <c r="BL13" s="185"/>
      <c r="BM13" s="185"/>
      <c r="BN13" s="186"/>
      <c r="BO13" s="71"/>
      <c r="BP13" s="68"/>
    </row>
    <row r="14" spans="1:69" s="133" customFormat="1" ht="17.25" customHeight="1">
      <c r="A14" s="67"/>
      <c r="B14" s="269">
        <v>8</v>
      </c>
      <c r="C14" s="1938" t="s">
        <v>1268</v>
      </c>
      <c r="D14" s="1939">
        <v>44542</v>
      </c>
      <c r="E14" s="1939">
        <v>45638</v>
      </c>
      <c r="F14" s="1940">
        <f>IF(AND(D14="",E14=""),0,E14-D14)</f>
        <v>1096</v>
      </c>
      <c r="G14" s="1938" t="s">
        <v>1257</v>
      </c>
      <c r="H14" s="1938" t="s">
        <v>1281</v>
      </c>
      <c r="I14" s="1938" t="s">
        <v>1266</v>
      </c>
      <c r="J14" s="1938" t="s">
        <v>1260</v>
      </c>
      <c r="K14" s="1946" t="s">
        <v>1282</v>
      </c>
      <c r="L14" s="1942">
        <v>97250400</v>
      </c>
      <c r="M14" s="270">
        <v>2.1999999999999999E-2</v>
      </c>
      <c r="N14" s="272"/>
      <c r="O14" s="1947"/>
      <c r="P14" s="1947"/>
      <c r="Q14" s="1947"/>
      <c r="R14" s="1947"/>
      <c r="S14" s="1947"/>
      <c r="T14" s="1947"/>
      <c r="U14" s="1948"/>
      <c r="V14" s="1948" t="s">
        <v>1262</v>
      </c>
      <c r="W14" s="1948"/>
      <c r="X14" s="1948"/>
      <c r="Y14" s="1948"/>
      <c r="Z14" s="1948"/>
      <c r="AA14" s="1948"/>
      <c r="AB14" s="1948"/>
      <c r="AC14" s="1948"/>
      <c r="AD14" s="1948"/>
      <c r="AE14" s="1948"/>
      <c r="AF14" s="1948"/>
      <c r="AG14" s="1948"/>
      <c r="AH14" s="1948"/>
      <c r="AI14" s="1948"/>
      <c r="AJ14" s="1948"/>
      <c r="AK14" s="1948"/>
      <c r="AL14" s="1948"/>
      <c r="AM14" s="1948"/>
      <c r="AN14" s="1948"/>
      <c r="AO14" s="1948"/>
      <c r="AP14" s="1948" t="s">
        <v>1262</v>
      </c>
      <c r="AQ14" s="1948"/>
      <c r="AR14" s="1948"/>
      <c r="AS14" s="1948"/>
      <c r="AT14" s="1948"/>
      <c r="AU14" s="1948"/>
      <c r="AV14" s="1948"/>
      <c r="AW14" s="1948"/>
      <c r="AX14" s="1948"/>
      <c r="AY14" s="1948"/>
      <c r="AZ14" s="1948"/>
      <c r="BA14" s="1948"/>
      <c r="BB14" s="1948"/>
      <c r="BC14" s="1948"/>
      <c r="BD14" s="1948"/>
      <c r="BE14" s="1948"/>
      <c r="BF14" s="1948"/>
      <c r="BG14" s="1948"/>
      <c r="BH14" s="1948"/>
      <c r="BI14" s="1948"/>
      <c r="BJ14" s="1947"/>
      <c r="BK14" s="184"/>
      <c r="BL14" s="185"/>
      <c r="BM14" s="185"/>
      <c r="BN14" s="204" t="s">
        <v>1283</v>
      </c>
      <c r="BO14" s="71"/>
      <c r="BP14" s="68"/>
    </row>
    <row r="15" spans="1:69" s="133" customFormat="1" ht="17.25" customHeight="1">
      <c r="A15" s="67"/>
      <c r="B15" s="269" t="s">
        <v>1284</v>
      </c>
      <c r="C15" s="1938" t="s">
        <v>1285</v>
      </c>
      <c r="D15" s="1939">
        <v>44543</v>
      </c>
      <c r="E15" s="1939">
        <v>45639</v>
      </c>
      <c r="F15" s="1940">
        <f>IF(AND(D15="",E15=""),0,E15-D15)</f>
        <v>1096</v>
      </c>
      <c r="G15" s="1938" t="s">
        <v>1257</v>
      </c>
      <c r="H15" s="1938" t="s">
        <v>1286</v>
      </c>
      <c r="I15" s="1938" t="s">
        <v>1266</v>
      </c>
      <c r="J15" s="1938" t="s">
        <v>1260</v>
      </c>
      <c r="K15" s="1941" t="s">
        <v>1287</v>
      </c>
      <c r="L15" s="1942">
        <v>576119500</v>
      </c>
      <c r="M15" s="270">
        <v>2.1999999999999999E-2</v>
      </c>
      <c r="N15" s="272"/>
      <c r="O15" s="1947"/>
      <c r="P15" s="1947"/>
      <c r="Q15" s="1947"/>
      <c r="R15" s="1947"/>
      <c r="S15" s="1947"/>
      <c r="T15" s="1947"/>
      <c r="U15" s="1948"/>
      <c r="V15" s="1948"/>
      <c r="W15" s="1948" t="s">
        <v>1262</v>
      </c>
      <c r="X15" s="1948"/>
      <c r="Y15" s="1948"/>
      <c r="Z15" s="1948"/>
      <c r="AA15" s="1948"/>
      <c r="AB15" s="1948"/>
      <c r="AC15" s="1948"/>
      <c r="AD15" s="1948"/>
      <c r="AE15" s="1948"/>
      <c r="AF15" s="1948"/>
      <c r="AG15" s="1948"/>
      <c r="AH15" s="1948"/>
      <c r="AI15" s="1948"/>
      <c r="AJ15" s="1948"/>
      <c r="AK15" s="1948"/>
      <c r="AL15" s="1948"/>
      <c r="AM15" s="1948"/>
      <c r="AN15" s="1948"/>
      <c r="AO15" s="1948"/>
      <c r="AP15" s="1948"/>
      <c r="AQ15" s="1948" t="s">
        <v>1262</v>
      </c>
      <c r="AR15" s="1948"/>
      <c r="AS15" s="1948"/>
      <c r="AT15" s="1948"/>
      <c r="AU15" s="1948"/>
      <c r="AV15" s="1948"/>
      <c r="AW15" s="1948"/>
      <c r="AX15" s="1948"/>
      <c r="AY15" s="1948"/>
      <c r="AZ15" s="1948"/>
      <c r="BA15" s="1948"/>
      <c r="BB15" s="1948"/>
      <c r="BC15" s="1948"/>
      <c r="BD15" s="1948"/>
      <c r="BE15" s="1948"/>
      <c r="BF15" s="1948"/>
      <c r="BG15" s="1948"/>
      <c r="BH15" s="1948"/>
      <c r="BI15" s="1948"/>
      <c r="BJ15" s="1947"/>
      <c r="BK15" s="184"/>
      <c r="BL15" s="185"/>
      <c r="BM15" s="185"/>
      <c r="BN15" s="186"/>
      <c r="BO15" s="71"/>
      <c r="BP15" s="68"/>
    </row>
    <row r="16" spans="1:69" s="133" customFormat="1" ht="17.25" customHeight="1">
      <c r="A16" s="67"/>
      <c r="B16" s="269">
        <v>9</v>
      </c>
      <c r="C16" s="1938" t="s">
        <v>1288</v>
      </c>
      <c r="D16" s="1939">
        <v>44544</v>
      </c>
      <c r="E16" s="1939">
        <v>45640</v>
      </c>
      <c r="F16" s="1940">
        <f t="shared" si="0"/>
        <v>1096</v>
      </c>
      <c r="G16" s="1938" t="s">
        <v>1257</v>
      </c>
      <c r="H16" s="1938" t="s">
        <v>1289</v>
      </c>
      <c r="I16" s="1938" t="s">
        <v>1266</v>
      </c>
      <c r="J16" s="1938" t="s">
        <v>1260</v>
      </c>
      <c r="K16" s="1960" t="s">
        <v>1290</v>
      </c>
      <c r="L16" s="1958">
        <v>28638500</v>
      </c>
      <c r="M16" s="270">
        <v>2.1999999999999999E-2</v>
      </c>
      <c r="N16" s="272"/>
      <c r="O16" s="1947"/>
      <c r="P16" s="1947"/>
      <c r="Q16" s="1947"/>
      <c r="R16" s="1947"/>
      <c r="S16" s="1947"/>
      <c r="T16" s="1947"/>
      <c r="U16" s="1948"/>
      <c r="V16" s="1948"/>
      <c r="W16" s="1948"/>
      <c r="X16" s="1948" t="s">
        <v>1262</v>
      </c>
      <c r="Y16" s="1948"/>
      <c r="Z16" s="1948"/>
      <c r="AA16" s="1948"/>
      <c r="AB16" s="1948"/>
      <c r="AC16" s="1948"/>
      <c r="AD16" s="1948"/>
      <c r="AE16" s="1948"/>
      <c r="AF16" s="1948"/>
      <c r="AG16" s="1948"/>
      <c r="AH16" s="1948"/>
      <c r="AI16" s="1948"/>
      <c r="AJ16" s="1948"/>
      <c r="AK16" s="1948"/>
      <c r="AL16" s="1948"/>
      <c r="AM16" s="1948"/>
      <c r="AN16" s="1948"/>
      <c r="AO16" s="1948"/>
      <c r="AP16" s="1948"/>
      <c r="AQ16" s="1948"/>
      <c r="AR16" s="1948" t="s">
        <v>1262</v>
      </c>
      <c r="AS16" s="1948"/>
      <c r="AT16" s="1948"/>
      <c r="AU16" s="1948"/>
      <c r="AV16" s="1948"/>
      <c r="AW16" s="1948"/>
      <c r="AX16" s="1948"/>
      <c r="AY16" s="1948"/>
      <c r="AZ16" s="1948"/>
      <c r="BA16" s="1948"/>
      <c r="BB16" s="1948"/>
      <c r="BC16" s="1948"/>
      <c r="BD16" s="1948"/>
      <c r="BE16" s="1948"/>
      <c r="BF16" s="1948"/>
      <c r="BG16" s="1948"/>
      <c r="BH16" s="1948"/>
      <c r="BI16" s="1948"/>
      <c r="BJ16" s="1947"/>
      <c r="BK16" s="184"/>
      <c r="BL16" s="185"/>
      <c r="BM16" s="185"/>
      <c r="BN16" s="186"/>
      <c r="BO16" s="71"/>
      <c r="BP16" s="68"/>
    </row>
    <row r="17" spans="1:69" s="133" customFormat="1" ht="17.25" customHeight="1">
      <c r="A17" s="67"/>
      <c r="B17" s="269">
        <v>4</v>
      </c>
      <c r="C17" s="1938" t="s">
        <v>1291</v>
      </c>
      <c r="D17" s="1939">
        <v>44544</v>
      </c>
      <c r="E17" s="1939">
        <v>45640</v>
      </c>
      <c r="F17" s="1940">
        <f t="shared" si="0"/>
        <v>1096</v>
      </c>
      <c r="G17" s="1938" t="s">
        <v>1257</v>
      </c>
      <c r="H17" s="1938" t="s">
        <v>1292</v>
      </c>
      <c r="I17" s="1938" t="s">
        <v>1266</v>
      </c>
      <c r="J17" s="1938" t="s">
        <v>1260</v>
      </c>
      <c r="K17" s="1941" t="s">
        <v>1293</v>
      </c>
      <c r="L17" s="1942">
        <v>191259000</v>
      </c>
      <c r="M17" s="270">
        <v>2.1999999999999999E-2</v>
      </c>
      <c r="N17" s="272"/>
      <c r="O17" s="1947"/>
      <c r="P17" s="1947"/>
      <c r="Q17" s="1947"/>
      <c r="R17" s="1947"/>
      <c r="S17" s="1947"/>
      <c r="T17" s="1947"/>
      <c r="U17" s="1948"/>
      <c r="V17" s="1948"/>
      <c r="W17" s="1948"/>
      <c r="X17" s="1948" t="s">
        <v>1262</v>
      </c>
      <c r="Y17" s="1948"/>
      <c r="Z17" s="1948"/>
      <c r="AA17" s="1948"/>
      <c r="AB17" s="1948"/>
      <c r="AC17" s="1948"/>
      <c r="AD17" s="1948"/>
      <c r="AE17" s="1948"/>
      <c r="AF17" s="1948"/>
      <c r="AG17" s="1948"/>
      <c r="AH17" s="1948"/>
      <c r="AI17" s="1948"/>
      <c r="AJ17" s="1948"/>
      <c r="AK17" s="1948"/>
      <c r="AL17" s="1948"/>
      <c r="AM17" s="1948"/>
      <c r="AN17" s="1948"/>
      <c r="AO17" s="1948"/>
      <c r="AP17" s="1948"/>
      <c r="AQ17" s="1948"/>
      <c r="AR17" s="1948" t="s">
        <v>1262</v>
      </c>
      <c r="AS17" s="1948"/>
      <c r="AT17" s="1948"/>
      <c r="AU17" s="1948"/>
      <c r="AV17" s="1948"/>
      <c r="AW17" s="1948"/>
      <c r="AX17" s="1948"/>
      <c r="AY17" s="1948"/>
      <c r="AZ17" s="1948"/>
      <c r="BA17" s="1948"/>
      <c r="BB17" s="1948"/>
      <c r="BC17" s="1948"/>
      <c r="BD17" s="1948"/>
      <c r="BE17" s="1948"/>
      <c r="BF17" s="1948"/>
      <c r="BG17" s="1948"/>
      <c r="BH17" s="1948"/>
      <c r="BI17" s="1948"/>
      <c r="BJ17" s="1947"/>
      <c r="BK17" s="184">
        <f>+L17</f>
        <v>191259000</v>
      </c>
      <c r="BL17" s="280">
        <v>130659000</v>
      </c>
      <c r="BM17" s="189">
        <f>+BK17-BL17</f>
        <v>60600000</v>
      </c>
      <c r="BN17" s="205" t="s">
        <v>1294</v>
      </c>
      <c r="BO17" s="71"/>
      <c r="BP17" s="68"/>
    </row>
    <row r="18" spans="1:69" s="133" customFormat="1" ht="17.25" customHeight="1">
      <c r="A18" s="67"/>
      <c r="B18" s="269">
        <v>32</v>
      </c>
      <c r="C18" s="1938" t="s">
        <v>1271</v>
      </c>
      <c r="D18" s="1939">
        <v>44558</v>
      </c>
      <c r="E18" s="1939">
        <v>45654</v>
      </c>
      <c r="F18" s="1940">
        <f t="shared" si="0"/>
        <v>1096</v>
      </c>
      <c r="G18" s="1938" t="s">
        <v>1257</v>
      </c>
      <c r="H18" s="1938" t="s">
        <v>1295</v>
      </c>
      <c r="I18" s="1938" t="s">
        <v>1266</v>
      </c>
      <c r="J18" s="1938" t="s">
        <v>1260</v>
      </c>
      <c r="K18" s="1941" t="s">
        <v>1296</v>
      </c>
      <c r="L18" s="1942">
        <v>135713720</v>
      </c>
      <c r="M18" s="270">
        <v>1.77E-2</v>
      </c>
      <c r="N18" s="272"/>
      <c r="O18" s="1947"/>
      <c r="P18" s="1947"/>
      <c r="Q18" s="1947"/>
      <c r="R18" s="1947"/>
      <c r="S18" s="1947"/>
      <c r="T18" s="1947"/>
      <c r="U18" s="1948"/>
      <c r="V18" s="1948"/>
      <c r="W18" s="1948"/>
      <c r="X18" s="1948"/>
      <c r="Y18" s="1948" t="s">
        <v>1262</v>
      </c>
      <c r="Z18" s="1948"/>
      <c r="AA18" s="1948"/>
      <c r="AB18" s="1948"/>
      <c r="AC18" s="1948"/>
      <c r="AD18" s="1948"/>
      <c r="AE18" s="1948"/>
      <c r="AF18" s="1948"/>
      <c r="AG18" s="1948"/>
      <c r="AH18" s="1948"/>
      <c r="AI18" s="1948"/>
      <c r="AJ18" s="1948"/>
      <c r="AK18" s="1948"/>
      <c r="AL18" s="1948"/>
      <c r="AM18" s="1948"/>
      <c r="AN18" s="1948"/>
      <c r="AO18" s="1948"/>
      <c r="AP18" s="1948"/>
      <c r="AQ18" s="1948"/>
      <c r="AR18" s="1948"/>
      <c r="AS18" s="1948" t="s">
        <v>1262</v>
      </c>
      <c r="AT18" s="1948"/>
      <c r="AU18" s="1948"/>
      <c r="AV18" s="1948"/>
      <c r="AW18" s="1948"/>
      <c r="AX18" s="1948"/>
      <c r="AY18" s="1948"/>
      <c r="AZ18" s="1947"/>
      <c r="BA18" s="1947"/>
      <c r="BB18" s="1947"/>
      <c r="BC18" s="1947"/>
      <c r="BD18" s="1947"/>
      <c r="BE18" s="1947"/>
      <c r="BF18" s="1947"/>
      <c r="BG18" s="1947"/>
      <c r="BH18" s="1947"/>
      <c r="BI18" s="1947"/>
      <c r="BJ18" s="1947"/>
      <c r="BK18" s="184"/>
      <c r="BL18" s="185"/>
      <c r="BM18" s="185"/>
      <c r="BN18" s="186"/>
      <c r="BO18" s="71"/>
      <c r="BP18" s="68"/>
    </row>
    <row r="19" spans="1:69" s="133" customFormat="1" ht="17.25" customHeight="1">
      <c r="A19" s="67"/>
      <c r="B19" s="207">
        <v>12</v>
      </c>
      <c r="C19" s="208" t="s">
        <v>1297</v>
      </c>
      <c r="D19" s="209">
        <v>44563</v>
      </c>
      <c r="E19" s="209">
        <v>45659</v>
      </c>
      <c r="F19" s="210">
        <f t="shared" si="0"/>
        <v>1096</v>
      </c>
      <c r="G19" s="208" t="s">
        <v>1257</v>
      </c>
      <c r="H19" s="208" t="s">
        <v>1298</v>
      </c>
      <c r="I19" s="208" t="s">
        <v>1279</v>
      </c>
      <c r="J19" s="208" t="s">
        <v>1260</v>
      </c>
      <c r="K19" s="211" t="s">
        <v>1299</v>
      </c>
      <c r="L19" s="263">
        <v>6214000</v>
      </c>
      <c r="M19" s="270">
        <v>2.12E-2</v>
      </c>
      <c r="N19" s="272"/>
      <c r="O19" s="1947"/>
      <c r="P19" s="1947"/>
      <c r="Q19" s="1947"/>
      <c r="R19" s="1947"/>
      <c r="S19" s="1947"/>
      <c r="T19" s="1947"/>
      <c r="U19" s="1948"/>
      <c r="V19" s="1948"/>
      <c r="W19" s="1948"/>
      <c r="X19" s="1948"/>
      <c r="Y19" s="1948"/>
      <c r="Z19" s="1948" t="s">
        <v>1262</v>
      </c>
      <c r="AA19" s="1948"/>
      <c r="AB19" s="1948"/>
      <c r="AC19" s="1948"/>
      <c r="AD19" s="1948"/>
      <c r="AE19" s="1948"/>
      <c r="AF19" s="1948"/>
      <c r="AG19" s="1948"/>
      <c r="AH19" s="1948"/>
      <c r="AI19" s="1948"/>
      <c r="AJ19" s="1948"/>
      <c r="AK19" s="1948"/>
      <c r="AL19" s="1948"/>
      <c r="AM19" s="1948"/>
      <c r="AN19" s="1948"/>
      <c r="AO19" s="1948"/>
      <c r="AP19" s="1948"/>
      <c r="AQ19" s="1948"/>
      <c r="AR19" s="1948"/>
      <c r="AS19" s="1948"/>
      <c r="AT19" s="1948" t="s">
        <v>1262</v>
      </c>
      <c r="AU19" s="1948"/>
      <c r="AV19" s="1948"/>
      <c r="AW19" s="1948"/>
      <c r="AX19" s="1948"/>
      <c r="AY19" s="1948"/>
      <c r="AZ19" s="1947"/>
      <c r="BA19" s="1947"/>
      <c r="BB19" s="1947"/>
      <c r="BC19" s="1947"/>
      <c r="BD19" s="1947"/>
      <c r="BE19" s="1947"/>
      <c r="BF19" s="1947"/>
      <c r="BG19" s="1947"/>
      <c r="BH19" s="1947"/>
      <c r="BI19" s="1947"/>
      <c r="BJ19" s="1947"/>
      <c r="BK19" s="184"/>
      <c r="BL19" s="185"/>
      <c r="BM19" s="185"/>
      <c r="BN19" s="186"/>
      <c r="BO19" s="71"/>
      <c r="BP19" s="68"/>
    </row>
    <row r="20" spans="1:69" s="133" customFormat="1" ht="17.25" customHeight="1">
      <c r="A20" s="67"/>
      <c r="B20" s="269" t="s">
        <v>1300</v>
      </c>
      <c r="C20" s="1938" t="s">
        <v>1297</v>
      </c>
      <c r="D20" s="209">
        <v>44563</v>
      </c>
      <c r="E20" s="209">
        <v>45659</v>
      </c>
      <c r="F20" s="1940">
        <f t="shared" si="0"/>
        <v>1096</v>
      </c>
      <c r="G20" s="1938" t="s">
        <v>1257</v>
      </c>
      <c r="H20" s="1938" t="s">
        <v>1301</v>
      </c>
      <c r="I20" s="1938" t="s">
        <v>1279</v>
      </c>
      <c r="J20" s="1938" t="s">
        <v>1260</v>
      </c>
      <c r="K20" s="1941" t="s">
        <v>1302</v>
      </c>
      <c r="L20" s="1942">
        <v>19109000</v>
      </c>
      <c r="M20" s="270">
        <v>2.12E-2</v>
      </c>
      <c r="N20" s="272"/>
      <c r="O20" s="1947"/>
      <c r="P20" s="1947"/>
      <c r="Q20" s="1947"/>
      <c r="R20" s="1947"/>
      <c r="S20" s="1947"/>
      <c r="T20" s="1947"/>
      <c r="U20" s="1948"/>
      <c r="V20" s="1948"/>
      <c r="W20" s="1948"/>
      <c r="X20" s="1948"/>
      <c r="Y20" s="1948"/>
      <c r="Z20" s="1948" t="s">
        <v>1262</v>
      </c>
      <c r="AA20" s="1948"/>
      <c r="AB20" s="1948"/>
      <c r="AC20" s="1948"/>
      <c r="AD20" s="1948"/>
      <c r="AE20" s="1948"/>
      <c r="AF20" s="1948"/>
      <c r="AG20" s="1948"/>
      <c r="AH20" s="1948"/>
      <c r="AI20" s="1948"/>
      <c r="AJ20" s="1948"/>
      <c r="AK20" s="1948"/>
      <c r="AL20" s="1948"/>
      <c r="AM20" s="1948"/>
      <c r="AN20" s="1948"/>
      <c r="AO20" s="1948"/>
      <c r="AP20" s="1948"/>
      <c r="AQ20" s="1948"/>
      <c r="AR20" s="1948"/>
      <c r="AS20" s="1948"/>
      <c r="AT20" s="1948" t="s">
        <v>1262</v>
      </c>
      <c r="AU20" s="1948"/>
      <c r="AV20" s="1948"/>
      <c r="AW20" s="1948"/>
      <c r="AX20" s="1948"/>
      <c r="AY20" s="1948"/>
      <c r="AZ20" s="1947"/>
      <c r="BA20" s="1947"/>
      <c r="BB20" s="1947"/>
      <c r="BC20" s="1947"/>
      <c r="BD20" s="1947"/>
      <c r="BE20" s="1947"/>
      <c r="BF20" s="1947"/>
      <c r="BG20" s="1947"/>
      <c r="BH20" s="1947"/>
      <c r="BI20" s="1947"/>
      <c r="BJ20" s="1947"/>
      <c r="BK20" s="184"/>
      <c r="BL20" s="185"/>
      <c r="BM20" s="185"/>
      <c r="BN20" s="186"/>
      <c r="BO20" s="71"/>
      <c r="BP20" s="68"/>
    </row>
    <row r="21" spans="1:69" s="133" customFormat="1" ht="17.25" customHeight="1">
      <c r="A21" s="67"/>
      <c r="B21" s="269">
        <v>13</v>
      </c>
      <c r="C21" s="1938" t="s">
        <v>1297</v>
      </c>
      <c r="D21" s="209">
        <v>44563</v>
      </c>
      <c r="E21" s="209">
        <v>45659</v>
      </c>
      <c r="F21" s="1940">
        <f t="shared" si="0"/>
        <v>1096</v>
      </c>
      <c r="G21" s="1938" t="s">
        <v>1257</v>
      </c>
      <c r="H21" s="1938" t="s">
        <v>1303</v>
      </c>
      <c r="I21" s="1938" t="s">
        <v>1279</v>
      </c>
      <c r="J21" s="1938" t="s">
        <v>1260</v>
      </c>
      <c r="K21" s="1941" t="s">
        <v>1304</v>
      </c>
      <c r="L21" s="1942">
        <v>6776000</v>
      </c>
      <c r="M21" s="270">
        <v>2.12E-2</v>
      </c>
      <c r="N21" s="272"/>
      <c r="O21" s="1947"/>
      <c r="P21" s="1947"/>
      <c r="Q21" s="1947"/>
      <c r="R21" s="1947"/>
      <c r="S21" s="1947"/>
      <c r="T21" s="1947"/>
      <c r="U21" s="1948"/>
      <c r="V21" s="1948"/>
      <c r="W21" s="1948"/>
      <c r="X21" s="1948"/>
      <c r="Y21" s="1948"/>
      <c r="Z21" s="1948" t="s">
        <v>1262</v>
      </c>
      <c r="AA21" s="1948"/>
      <c r="AB21" s="1948"/>
      <c r="AC21" s="1948"/>
      <c r="AD21" s="1948"/>
      <c r="AE21" s="1948"/>
      <c r="AF21" s="1948"/>
      <c r="AG21" s="1948"/>
      <c r="AH21" s="1948"/>
      <c r="AI21" s="1948"/>
      <c r="AJ21" s="1948"/>
      <c r="AK21" s="1948"/>
      <c r="AL21" s="1948"/>
      <c r="AM21" s="1948"/>
      <c r="AN21" s="1948"/>
      <c r="AO21" s="1948"/>
      <c r="AP21" s="1948"/>
      <c r="AQ21" s="1948"/>
      <c r="AR21" s="1948"/>
      <c r="AS21" s="1948"/>
      <c r="AT21" s="1948" t="s">
        <v>1262</v>
      </c>
      <c r="AU21" s="1948"/>
      <c r="AV21" s="1948"/>
      <c r="AW21" s="1948"/>
      <c r="AX21" s="1948"/>
      <c r="AY21" s="1948"/>
      <c r="AZ21" s="1947"/>
      <c r="BA21" s="1947"/>
      <c r="BB21" s="1947"/>
      <c r="BC21" s="1947"/>
      <c r="BD21" s="1947"/>
      <c r="BE21" s="1947"/>
      <c r="BF21" s="1947"/>
      <c r="BG21" s="1947"/>
      <c r="BH21" s="1947"/>
      <c r="BI21" s="1947"/>
      <c r="BJ21" s="1947"/>
      <c r="BK21" s="184"/>
      <c r="BL21" s="189"/>
      <c r="BM21" s="189"/>
      <c r="BN21" s="190"/>
      <c r="BO21" s="71"/>
      <c r="BP21" s="68"/>
    </row>
    <row r="22" spans="1:69" s="133" customFormat="1" ht="17.25" customHeight="1">
      <c r="A22" s="67"/>
      <c r="B22" s="269">
        <v>33</v>
      </c>
      <c r="C22" s="1938" t="s">
        <v>1297</v>
      </c>
      <c r="D22" s="1939">
        <v>44567</v>
      </c>
      <c r="E22" s="1939">
        <v>45663</v>
      </c>
      <c r="F22" s="1940">
        <f t="shared" si="0"/>
        <v>1096</v>
      </c>
      <c r="G22" s="1938" t="s">
        <v>1257</v>
      </c>
      <c r="H22" s="1938" t="s">
        <v>1305</v>
      </c>
      <c r="I22" s="1938" t="s">
        <v>1279</v>
      </c>
      <c r="J22" s="1938" t="s">
        <v>1306</v>
      </c>
      <c r="K22" s="1941" t="s">
        <v>1307</v>
      </c>
      <c r="L22" s="1942">
        <v>1152000</v>
      </c>
      <c r="M22" s="270">
        <v>2.12E-2</v>
      </c>
      <c r="N22" s="272"/>
      <c r="O22" s="1947"/>
      <c r="P22" s="1947"/>
      <c r="Q22" s="1947"/>
      <c r="R22" s="1947"/>
      <c r="S22" s="1947"/>
      <c r="T22" s="1947"/>
      <c r="U22" s="1948"/>
      <c r="V22" s="1948"/>
      <c r="W22" s="1948"/>
      <c r="X22" s="1948"/>
      <c r="Y22" s="1948"/>
      <c r="Z22" s="1948" t="s">
        <v>1280</v>
      </c>
      <c r="AA22" s="1948"/>
      <c r="AB22" s="1948"/>
      <c r="AC22" s="1948"/>
      <c r="AD22" s="1948"/>
      <c r="AE22" s="1948"/>
      <c r="AF22" s="1948"/>
      <c r="AG22" s="1948"/>
      <c r="AH22" s="1948"/>
      <c r="AI22" s="1948"/>
      <c r="AJ22" s="1948"/>
      <c r="AK22" s="1948"/>
      <c r="AL22" s="1948"/>
      <c r="AM22" s="1948"/>
      <c r="AN22" s="1948"/>
      <c r="AO22" s="1948"/>
      <c r="AP22" s="1948"/>
      <c r="AQ22" s="1948"/>
      <c r="AR22" s="1948"/>
      <c r="AS22" s="1948"/>
      <c r="AT22" s="1948" t="s">
        <v>1280</v>
      </c>
      <c r="AU22" s="1948"/>
      <c r="AV22" s="1948"/>
      <c r="AW22" s="1948"/>
      <c r="AX22" s="1948"/>
      <c r="AY22" s="1948"/>
      <c r="AZ22" s="1947"/>
      <c r="BA22" s="1947"/>
      <c r="BB22" s="1947"/>
      <c r="BC22" s="1947"/>
      <c r="BD22" s="1947"/>
      <c r="BE22" s="1947"/>
      <c r="BF22" s="1947"/>
      <c r="BG22" s="1947"/>
      <c r="BH22" s="1947"/>
      <c r="BI22" s="1947"/>
      <c r="BJ22" s="1947"/>
      <c r="BK22" s="184"/>
      <c r="BL22" s="189"/>
      <c r="BM22" s="189"/>
      <c r="BN22" s="190"/>
      <c r="BO22" s="71"/>
      <c r="BP22" s="11"/>
      <c r="BQ22" s="11"/>
    </row>
    <row r="23" spans="1:69" s="133" customFormat="1" ht="17.25" customHeight="1">
      <c r="A23" s="67"/>
      <c r="B23" s="269">
        <v>13</v>
      </c>
      <c r="C23" s="1938" t="s">
        <v>1308</v>
      </c>
      <c r="D23" s="1939">
        <v>44567</v>
      </c>
      <c r="E23" s="1939">
        <v>45663</v>
      </c>
      <c r="F23" s="1940">
        <f t="shared" si="0"/>
        <v>1096</v>
      </c>
      <c r="G23" s="1938" t="s">
        <v>1257</v>
      </c>
      <c r="H23" s="1938" t="s">
        <v>1309</v>
      </c>
      <c r="I23" s="1938" t="s">
        <v>1279</v>
      </c>
      <c r="J23" s="1938" t="s">
        <v>1306</v>
      </c>
      <c r="K23" s="1957" t="s">
        <v>1310</v>
      </c>
      <c r="L23" s="1942">
        <v>433000</v>
      </c>
      <c r="M23" s="270">
        <v>2.12E-2</v>
      </c>
      <c r="N23" s="272"/>
      <c r="O23" s="1947"/>
      <c r="P23" s="1947"/>
      <c r="Q23" s="1947"/>
      <c r="R23" s="1947"/>
      <c r="S23" s="1947"/>
      <c r="T23" s="1947"/>
      <c r="U23" s="1948"/>
      <c r="V23" s="1948"/>
      <c r="W23" s="1948"/>
      <c r="X23" s="1948"/>
      <c r="Y23" s="1948"/>
      <c r="Z23" s="1948" t="s">
        <v>1280</v>
      </c>
      <c r="AA23" s="1948"/>
      <c r="AB23" s="1948"/>
      <c r="AC23" s="1948"/>
      <c r="AD23" s="1948"/>
      <c r="AE23" s="1948"/>
      <c r="AF23" s="1948"/>
      <c r="AG23" s="1948"/>
      <c r="AH23" s="1948"/>
      <c r="AI23" s="1948"/>
      <c r="AJ23" s="1948"/>
      <c r="AK23" s="1948"/>
      <c r="AL23" s="1948"/>
      <c r="AM23" s="1948"/>
      <c r="AN23" s="1948"/>
      <c r="AO23" s="1948"/>
      <c r="AP23" s="1948"/>
      <c r="AQ23" s="1948"/>
      <c r="AR23" s="1948"/>
      <c r="AS23" s="1948"/>
      <c r="AT23" s="1948" t="s">
        <v>1280</v>
      </c>
      <c r="AU23" s="1948"/>
      <c r="AV23" s="1948"/>
      <c r="AW23" s="1948"/>
      <c r="AX23" s="1948"/>
      <c r="AY23" s="1948"/>
      <c r="AZ23" s="1947"/>
      <c r="BA23" s="1947"/>
      <c r="BB23" s="1947"/>
      <c r="BC23" s="1947"/>
      <c r="BD23" s="1947"/>
      <c r="BE23" s="1947"/>
      <c r="BF23" s="1947"/>
      <c r="BG23" s="1947"/>
      <c r="BH23" s="1947"/>
      <c r="BI23" s="1947"/>
      <c r="BJ23" s="1947"/>
      <c r="BK23" s="184"/>
      <c r="BL23" s="189"/>
      <c r="BM23" s="189"/>
      <c r="BN23" s="190"/>
      <c r="BO23" s="71"/>
      <c r="BP23" s="11"/>
      <c r="BQ23" s="11"/>
    </row>
    <row r="24" spans="1:69" s="133" customFormat="1" ht="17.25" customHeight="1">
      <c r="A24" s="67"/>
      <c r="B24" s="269" t="s">
        <v>1311</v>
      </c>
      <c r="C24" s="1938" t="s">
        <v>1256</v>
      </c>
      <c r="D24" s="209">
        <v>44563</v>
      </c>
      <c r="E24" s="209">
        <v>45659</v>
      </c>
      <c r="F24" s="1940">
        <f t="shared" si="0"/>
        <v>1096</v>
      </c>
      <c r="G24" s="1938" t="s">
        <v>1257</v>
      </c>
      <c r="H24" s="1938" t="s">
        <v>1312</v>
      </c>
      <c r="I24" s="1938" t="s">
        <v>1279</v>
      </c>
      <c r="J24" s="1938" t="s">
        <v>1260</v>
      </c>
      <c r="K24" s="1941" t="s">
        <v>1261</v>
      </c>
      <c r="L24" s="1942">
        <v>39415810</v>
      </c>
      <c r="M24" s="270">
        <v>2.12E-2</v>
      </c>
      <c r="N24" s="272"/>
      <c r="O24" s="1947"/>
      <c r="P24" s="1947"/>
      <c r="Q24" s="1947"/>
      <c r="R24" s="1947"/>
      <c r="S24" s="1947"/>
      <c r="T24" s="1947"/>
      <c r="U24" s="1948"/>
      <c r="V24" s="1948"/>
      <c r="W24" s="1948"/>
      <c r="X24" s="1948"/>
      <c r="Y24" s="1948"/>
      <c r="Z24" s="1948" t="s">
        <v>1262</v>
      </c>
      <c r="AA24" s="1948"/>
      <c r="AB24" s="1948"/>
      <c r="AC24" s="1948"/>
      <c r="AD24" s="1948"/>
      <c r="AE24" s="1948"/>
      <c r="AF24" s="1948"/>
      <c r="AG24" s="1948"/>
      <c r="AH24" s="1948"/>
      <c r="AI24" s="1948"/>
      <c r="AJ24" s="1948"/>
      <c r="AK24" s="1948"/>
      <c r="AL24" s="1948"/>
      <c r="AM24" s="1948"/>
      <c r="AN24" s="1948"/>
      <c r="AO24" s="1948"/>
      <c r="AP24" s="1948"/>
      <c r="AQ24" s="1948"/>
      <c r="AR24" s="1948"/>
      <c r="AS24" s="1948"/>
      <c r="AT24" s="1948" t="s">
        <v>1262</v>
      </c>
      <c r="AU24" s="1948"/>
      <c r="AV24" s="1948"/>
      <c r="AW24" s="1948"/>
      <c r="AX24" s="1948"/>
      <c r="AY24" s="1948"/>
      <c r="AZ24" s="1947"/>
      <c r="BA24" s="1947"/>
      <c r="BB24" s="1947"/>
      <c r="BC24" s="1947"/>
      <c r="BD24" s="1947"/>
      <c r="BE24" s="1947"/>
      <c r="BF24" s="1947"/>
      <c r="BG24" s="1947"/>
      <c r="BH24" s="1947"/>
      <c r="BI24" s="1947"/>
      <c r="BJ24" s="1947"/>
      <c r="BK24" s="184"/>
      <c r="BL24" s="189"/>
      <c r="BM24" s="189"/>
      <c r="BN24" s="190"/>
      <c r="BO24" s="71"/>
      <c r="BP24" s="11"/>
      <c r="BQ24" s="11"/>
    </row>
    <row r="25" spans="1:69" s="133" customFormat="1" ht="17.25" customHeight="1">
      <c r="A25" s="67"/>
      <c r="B25" s="269" t="s">
        <v>1255</v>
      </c>
      <c r="C25" s="1938" t="s">
        <v>1256</v>
      </c>
      <c r="D25" s="1939">
        <v>44567</v>
      </c>
      <c r="E25" s="1939">
        <v>45663</v>
      </c>
      <c r="F25" s="1940">
        <f t="shared" si="0"/>
        <v>1096</v>
      </c>
      <c r="G25" s="1938" t="s">
        <v>1257</v>
      </c>
      <c r="H25" s="1938" t="s">
        <v>1313</v>
      </c>
      <c r="I25" s="1938" t="s">
        <v>1279</v>
      </c>
      <c r="J25" s="1938" t="s">
        <v>1306</v>
      </c>
      <c r="K25" s="1941" t="s">
        <v>1261</v>
      </c>
      <c r="L25" s="1942">
        <v>2769500</v>
      </c>
      <c r="M25" s="270">
        <v>2.12E-2</v>
      </c>
      <c r="N25" s="272"/>
      <c r="O25" s="1947"/>
      <c r="P25" s="1947"/>
      <c r="Q25" s="1947"/>
      <c r="R25" s="1947"/>
      <c r="S25" s="1947"/>
      <c r="T25" s="1947"/>
      <c r="U25" s="1948"/>
      <c r="V25" s="1948"/>
      <c r="W25" s="1948"/>
      <c r="X25" s="1948"/>
      <c r="Y25" s="1948"/>
      <c r="Z25" s="1948" t="s">
        <v>1280</v>
      </c>
      <c r="AA25" s="1948"/>
      <c r="AB25" s="1948"/>
      <c r="AC25" s="1948"/>
      <c r="AD25" s="1948"/>
      <c r="AE25" s="1948"/>
      <c r="AF25" s="1948"/>
      <c r="AG25" s="1948"/>
      <c r="AH25" s="1948"/>
      <c r="AI25" s="1948"/>
      <c r="AJ25" s="1948"/>
      <c r="AK25" s="1948"/>
      <c r="AL25" s="1948"/>
      <c r="AM25" s="1948"/>
      <c r="AN25" s="1948"/>
      <c r="AO25" s="1948"/>
      <c r="AP25" s="1948"/>
      <c r="AQ25" s="1948"/>
      <c r="AR25" s="1948"/>
      <c r="AS25" s="1948"/>
      <c r="AT25" s="1948" t="s">
        <v>1280</v>
      </c>
      <c r="AU25" s="1948"/>
      <c r="AV25" s="1948"/>
      <c r="AW25" s="1948"/>
      <c r="AX25" s="1948"/>
      <c r="AY25" s="1948"/>
      <c r="AZ25" s="1947"/>
      <c r="BA25" s="1947"/>
      <c r="BB25" s="1947"/>
      <c r="BC25" s="1947"/>
      <c r="BD25" s="1947"/>
      <c r="BE25" s="1947"/>
      <c r="BF25" s="1947"/>
      <c r="BG25" s="1947"/>
      <c r="BH25" s="1947"/>
      <c r="BI25" s="1947"/>
      <c r="BJ25" s="1947"/>
      <c r="BK25" s="184">
        <f>+L8+L25</f>
        <v>161958000</v>
      </c>
      <c r="BL25" s="189"/>
      <c r="BM25" s="189"/>
      <c r="BN25" s="190"/>
      <c r="BO25" s="71"/>
      <c r="BP25" s="68"/>
    </row>
    <row r="26" spans="1:69" s="133" customFormat="1" ht="17.25" customHeight="1">
      <c r="A26" s="67"/>
      <c r="B26" s="207">
        <v>33</v>
      </c>
      <c r="C26" s="208" t="s">
        <v>1314</v>
      </c>
      <c r="D26" s="209">
        <v>44590</v>
      </c>
      <c r="E26" s="209">
        <v>45686</v>
      </c>
      <c r="F26" s="210">
        <f t="shared" si="0"/>
        <v>1096</v>
      </c>
      <c r="G26" s="208" t="s">
        <v>1257</v>
      </c>
      <c r="H26" s="208" t="s">
        <v>1315</v>
      </c>
      <c r="I26" s="208" t="s">
        <v>1266</v>
      </c>
      <c r="J26" s="208" t="s">
        <v>1260</v>
      </c>
      <c r="K26" s="211" t="s">
        <v>1316</v>
      </c>
      <c r="L26" s="263">
        <v>109736000</v>
      </c>
      <c r="M26" s="264">
        <v>2.5499999999999998E-2</v>
      </c>
      <c r="N26" s="272"/>
      <c r="O26" s="1947"/>
      <c r="P26" s="1947"/>
      <c r="Q26" s="1947"/>
      <c r="R26" s="1947"/>
      <c r="S26" s="1947"/>
      <c r="T26" s="1947"/>
      <c r="U26" s="1948"/>
      <c r="V26" s="1948"/>
      <c r="W26" s="1948"/>
      <c r="X26" s="1948"/>
      <c r="Y26" s="1948"/>
      <c r="Z26" s="1948"/>
      <c r="AA26" s="1948" t="s">
        <v>1262</v>
      </c>
      <c r="AB26" s="1948"/>
      <c r="AC26" s="1948"/>
      <c r="AD26" s="1948"/>
      <c r="AE26" s="1948"/>
      <c r="AF26" s="1948"/>
      <c r="AG26" s="1948"/>
      <c r="AH26" s="1948"/>
      <c r="AI26" s="1948"/>
      <c r="AJ26" s="1948"/>
      <c r="AK26" s="1948"/>
      <c r="AL26" s="1948"/>
      <c r="AM26" s="1948"/>
      <c r="AN26" s="1948"/>
      <c r="AO26" s="1948"/>
      <c r="AP26" s="1948"/>
      <c r="AQ26" s="1948"/>
      <c r="AR26" s="1948"/>
      <c r="AS26" s="1948"/>
      <c r="AT26" s="1948"/>
      <c r="AU26" s="1948" t="s">
        <v>1262</v>
      </c>
      <c r="AV26" s="1948"/>
      <c r="AW26" s="1948"/>
      <c r="AX26" s="1948"/>
      <c r="AY26" s="1948"/>
      <c r="AZ26" s="1947"/>
      <c r="BA26" s="1947"/>
      <c r="BB26" s="1947"/>
      <c r="BC26" s="1947"/>
      <c r="BD26" s="1947"/>
      <c r="BE26" s="1947"/>
      <c r="BF26" s="1947"/>
      <c r="BG26" s="1947"/>
      <c r="BH26" s="1947"/>
      <c r="BI26" s="1947"/>
      <c r="BJ26" s="1947"/>
      <c r="BK26" s="184">
        <f>+L26</f>
        <v>109736000</v>
      </c>
      <c r="BL26" s="280">
        <v>66736000</v>
      </c>
      <c r="BM26" s="189">
        <f>+BK26-BL26</f>
        <v>43000000</v>
      </c>
      <c r="BN26" s="205" t="s">
        <v>1317</v>
      </c>
      <c r="BO26" s="71"/>
      <c r="BP26" s="68"/>
    </row>
    <row r="27" spans="1:69" s="133" customFormat="1" ht="17.25" customHeight="1">
      <c r="A27" s="67"/>
      <c r="B27" s="269">
        <v>11</v>
      </c>
      <c r="C27" s="208" t="s">
        <v>1318</v>
      </c>
      <c r="D27" s="209">
        <v>44648</v>
      </c>
      <c r="E27" s="209">
        <v>45744</v>
      </c>
      <c r="F27" s="210">
        <f t="shared" si="0"/>
        <v>1096</v>
      </c>
      <c r="G27" s="208" t="s">
        <v>1257</v>
      </c>
      <c r="H27" s="208" t="s">
        <v>1319</v>
      </c>
      <c r="I27" s="208" t="s">
        <v>1266</v>
      </c>
      <c r="J27" s="208" t="s">
        <v>1260</v>
      </c>
      <c r="K27" s="211" t="s">
        <v>1320</v>
      </c>
      <c r="L27" s="263">
        <v>24900000</v>
      </c>
      <c r="M27" s="264">
        <v>2.7400000000000001E-2</v>
      </c>
      <c r="N27" s="272"/>
      <c r="O27" s="1947"/>
      <c r="P27" s="1947"/>
      <c r="Q27" s="1947"/>
      <c r="R27" s="1947"/>
      <c r="S27" s="1947"/>
      <c r="T27" s="1947"/>
      <c r="U27" s="1948"/>
      <c r="V27" s="1948"/>
      <c r="W27" s="1948"/>
      <c r="X27" s="1948"/>
      <c r="Y27" s="1948"/>
      <c r="Z27" s="1948"/>
      <c r="AA27" s="1948"/>
      <c r="AB27" s="1948"/>
      <c r="AC27" s="1948"/>
      <c r="AD27" s="1948"/>
      <c r="AE27" s="1948"/>
      <c r="AF27" s="1948"/>
      <c r="AG27" s="1948"/>
      <c r="AH27" s="1948"/>
      <c r="AI27" s="1948"/>
      <c r="AJ27" s="1948"/>
      <c r="AK27" s="1948"/>
      <c r="AL27" s="1948"/>
      <c r="AM27" s="1948"/>
      <c r="AN27" s="1948"/>
      <c r="AO27" s="1948"/>
      <c r="AP27" s="1948"/>
      <c r="AQ27" s="1948"/>
      <c r="AR27" s="1948"/>
      <c r="AS27" s="1948"/>
      <c r="AT27" s="1948"/>
      <c r="AU27" s="1948"/>
      <c r="AV27" s="1948"/>
      <c r="AW27" s="1948"/>
      <c r="AX27" s="1948"/>
      <c r="AY27" s="1948"/>
      <c r="AZ27" s="1947"/>
      <c r="BA27" s="1947"/>
      <c r="BB27" s="1947"/>
      <c r="BC27" s="1947"/>
      <c r="BD27" s="1947"/>
      <c r="BE27" s="1947"/>
      <c r="BF27" s="1947"/>
      <c r="BG27" s="1947"/>
      <c r="BH27" s="1947"/>
      <c r="BI27" s="1947"/>
      <c r="BJ27" s="1947"/>
      <c r="BK27" s="184"/>
      <c r="BL27" s="189"/>
      <c r="BM27" s="189"/>
      <c r="BN27" s="190"/>
      <c r="BO27" s="71"/>
      <c r="BP27" s="68"/>
    </row>
    <row r="28" spans="1:69" s="133" customFormat="1" ht="17.25" customHeight="1">
      <c r="A28" s="67"/>
      <c r="B28" s="269">
        <v>11</v>
      </c>
      <c r="C28" s="1938" t="s">
        <v>1321</v>
      </c>
      <c r="D28" s="1939">
        <v>44610</v>
      </c>
      <c r="E28" s="1939">
        <v>45706</v>
      </c>
      <c r="F28" s="1940">
        <f t="shared" si="0"/>
        <v>1096</v>
      </c>
      <c r="G28" s="1938" t="s">
        <v>1257</v>
      </c>
      <c r="H28" s="1938" t="s">
        <v>1322</v>
      </c>
      <c r="I28" s="1938" t="s">
        <v>1266</v>
      </c>
      <c r="J28" s="208" t="s">
        <v>1260</v>
      </c>
      <c r="K28" s="1941" t="s">
        <v>1323</v>
      </c>
      <c r="L28" s="1942">
        <v>264313500</v>
      </c>
      <c r="M28" s="270">
        <v>2.6499999999999999E-2</v>
      </c>
      <c r="N28" s="272"/>
      <c r="O28" s="1947"/>
      <c r="P28" s="1947"/>
      <c r="Q28" s="1947"/>
      <c r="R28" s="1947"/>
      <c r="S28" s="1947"/>
      <c r="T28" s="1947"/>
      <c r="U28" s="1948"/>
      <c r="V28" s="1948"/>
      <c r="W28" s="1948"/>
      <c r="X28" s="1948"/>
      <c r="Y28" s="1948"/>
      <c r="Z28" s="1948"/>
      <c r="AA28" s="1948"/>
      <c r="AB28" s="1948"/>
      <c r="AC28" s="1948"/>
      <c r="AD28" s="1948"/>
      <c r="AE28" s="1948"/>
      <c r="AF28" s="1948"/>
      <c r="AG28" s="1948"/>
      <c r="AH28" s="1948"/>
      <c r="AI28" s="1948"/>
      <c r="AJ28" s="1948"/>
      <c r="AK28" s="1948"/>
      <c r="AL28" s="1948"/>
      <c r="AM28" s="1948"/>
      <c r="AN28" s="1948"/>
      <c r="AO28" s="1948"/>
      <c r="AP28" s="1948"/>
      <c r="AQ28" s="1948"/>
      <c r="AR28" s="1948"/>
      <c r="AS28" s="1948"/>
      <c r="AT28" s="1948"/>
      <c r="AU28" s="1948"/>
      <c r="AV28" s="1948"/>
      <c r="AW28" s="1948"/>
      <c r="AX28" s="1948"/>
      <c r="AY28" s="1961"/>
      <c r="AZ28" s="1948"/>
      <c r="BA28" s="1948"/>
      <c r="BB28" s="1948"/>
      <c r="BC28" s="1948"/>
      <c r="BD28" s="1948"/>
      <c r="BE28" s="1948"/>
      <c r="BF28" s="1948"/>
      <c r="BG28" s="1948"/>
      <c r="BH28" s="1948"/>
      <c r="BI28" s="1948"/>
      <c r="BJ28" s="1947"/>
      <c r="BK28" s="184"/>
      <c r="BL28" s="189"/>
      <c r="BM28" s="189"/>
      <c r="BN28" s="190"/>
      <c r="BO28" s="71"/>
      <c r="BP28" s="68"/>
    </row>
    <row r="29" spans="1:69" s="133" customFormat="1" ht="17.25" customHeight="1">
      <c r="A29" s="67"/>
      <c r="B29" s="269">
        <v>9</v>
      </c>
      <c r="C29" s="1938" t="s">
        <v>1324</v>
      </c>
      <c r="D29" s="1939">
        <v>44611</v>
      </c>
      <c r="E29" s="1939">
        <v>45707</v>
      </c>
      <c r="F29" s="1940">
        <f t="shared" si="0"/>
        <v>1096</v>
      </c>
      <c r="G29" s="1938" t="s">
        <v>1257</v>
      </c>
      <c r="H29" s="1938" t="s">
        <v>1325</v>
      </c>
      <c r="I29" s="1938" t="s">
        <v>1279</v>
      </c>
      <c r="J29" s="208" t="s">
        <v>1260</v>
      </c>
      <c r="K29" s="1941" t="s">
        <v>1326</v>
      </c>
      <c r="L29" s="1942">
        <v>14710000</v>
      </c>
      <c r="M29" s="270">
        <v>2.6499999999999999E-2</v>
      </c>
      <c r="N29" s="272"/>
      <c r="O29" s="1947"/>
      <c r="P29" s="1947"/>
      <c r="Q29" s="1947"/>
      <c r="R29" s="1947"/>
      <c r="S29" s="1947"/>
      <c r="T29" s="1947"/>
      <c r="U29" s="1948"/>
      <c r="V29" s="1948"/>
      <c r="W29" s="1948"/>
      <c r="X29" s="1948"/>
      <c r="Y29" s="1948"/>
      <c r="Z29" s="1948"/>
      <c r="AA29" s="1948"/>
      <c r="AB29" s="1948"/>
      <c r="AC29" s="1948"/>
      <c r="AD29" s="1948"/>
      <c r="AE29" s="1948"/>
      <c r="AF29" s="1948"/>
      <c r="AG29" s="1948"/>
      <c r="AH29" s="1948"/>
      <c r="AI29" s="1948"/>
      <c r="AJ29" s="1948"/>
      <c r="AK29" s="1948"/>
      <c r="AL29" s="1948"/>
      <c r="AM29" s="1948"/>
      <c r="AN29" s="1948"/>
      <c r="AO29" s="1948"/>
      <c r="AP29" s="1948"/>
      <c r="AQ29" s="1948"/>
      <c r="AR29" s="1948"/>
      <c r="AS29" s="1948"/>
      <c r="AT29" s="1948"/>
      <c r="AU29" s="1948"/>
      <c r="AV29" s="1948"/>
      <c r="AW29" s="1948"/>
      <c r="AX29" s="1948"/>
      <c r="AY29" s="1961"/>
      <c r="AZ29" s="1948"/>
      <c r="BA29" s="1948"/>
      <c r="BB29" s="1948"/>
      <c r="BC29" s="1948"/>
      <c r="BD29" s="1948"/>
      <c r="BE29" s="1948"/>
      <c r="BF29" s="1948"/>
      <c r="BG29" s="1948"/>
      <c r="BH29" s="1948"/>
      <c r="BI29" s="1948"/>
      <c r="BJ29" s="1947"/>
      <c r="BK29" s="184"/>
      <c r="BL29" s="189"/>
      <c r="BM29" s="189"/>
      <c r="BN29" s="190"/>
      <c r="BO29" s="71"/>
      <c r="BP29" s="141"/>
    </row>
    <row r="30" spans="1:69" s="133" customFormat="1" ht="17.25" customHeight="1">
      <c r="A30" s="67"/>
      <c r="B30" s="207">
        <v>23</v>
      </c>
      <c r="C30" s="208" t="s">
        <v>1327</v>
      </c>
      <c r="D30" s="209">
        <v>44612</v>
      </c>
      <c r="E30" s="209">
        <v>45708</v>
      </c>
      <c r="F30" s="210">
        <f>IF(AND(D30="",E30=""),0,E30-D30)</f>
        <v>1096</v>
      </c>
      <c r="G30" s="208" t="s">
        <v>1257</v>
      </c>
      <c r="H30" s="208" t="s">
        <v>1328</v>
      </c>
      <c r="I30" s="208" t="s">
        <v>1266</v>
      </c>
      <c r="J30" s="208" t="s">
        <v>1260</v>
      </c>
      <c r="K30" s="211" t="s">
        <v>1329</v>
      </c>
      <c r="L30" s="263">
        <v>87327000</v>
      </c>
      <c r="M30" s="270">
        <v>2.6499999999999999E-2</v>
      </c>
      <c r="N30" s="272"/>
      <c r="O30" s="1947"/>
      <c r="P30" s="1947"/>
      <c r="Q30" s="1947"/>
      <c r="R30" s="1947"/>
      <c r="S30" s="1947"/>
      <c r="T30" s="1947"/>
      <c r="U30" s="1948"/>
      <c r="V30" s="1948"/>
      <c r="W30" s="1948"/>
      <c r="X30" s="1948"/>
      <c r="Y30" s="1948"/>
      <c r="Z30" s="1948"/>
      <c r="AA30" s="1948"/>
      <c r="AB30" s="1948" t="s">
        <v>1280</v>
      </c>
      <c r="AC30" s="1948"/>
      <c r="AD30" s="1948"/>
      <c r="AE30" s="1948"/>
      <c r="AF30" s="1948"/>
      <c r="AG30" s="1948"/>
      <c r="AH30" s="1948"/>
      <c r="AI30" s="1948"/>
      <c r="AJ30" s="1948"/>
      <c r="AK30" s="1948"/>
      <c r="AL30" s="1948"/>
      <c r="AM30" s="1948"/>
      <c r="AN30" s="1948"/>
      <c r="AO30" s="1948"/>
      <c r="AP30" s="1948"/>
      <c r="AQ30" s="1948"/>
      <c r="AR30" s="1948"/>
      <c r="AS30" s="1948"/>
      <c r="AT30" s="1948"/>
      <c r="AU30" s="1948"/>
      <c r="AV30" s="1948" t="s">
        <v>1262</v>
      </c>
      <c r="AW30" s="1948"/>
      <c r="AX30" s="1948"/>
      <c r="AY30" s="1948"/>
      <c r="AZ30" s="1947"/>
      <c r="BA30" s="1947"/>
      <c r="BB30" s="1947"/>
      <c r="BC30" s="1947"/>
      <c r="BD30" s="1947"/>
      <c r="BE30" s="1947"/>
      <c r="BF30" s="1947"/>
      <c r="BG30" s="1947"/>
      <c r="BH30" s="1947"/>
      <c r="BI30" s="1947"/>
      <c r="BJ30" s="1947"/>
      <c r="BK30" s="184"/>
      <c r="BL30" s="189"/>
      <c r="BM30" s="189"/>
      <c r="BN30" s="190"/>
      <c r="BO30" s="71"/>
      <c r="BP30" s="68"/>
    </row>
    <row r="31" spans="1:69" s="77" customFormat="1" ht="17.25" customHeight="1">
      <c r="A31" s="67"/>
      <c r="B31" s="269" t="s">
        <v>1330</v>
      </c>
      <c r="C31" s="1938" t="s">
        <v>1331</v>
      </c>
      <c r="D31" s="1939">
        <v>44652</v>
      </c>
      <c r="E31" s="1939">
        <v>45748</v>
      </c>
      <c r="F31" s="1940">
        <f t="shared" ref="F31:F69" si="1">IF(AND(D31="",E31=""),0,E31-D31)</f>
        <v>1096</v>
      </c>
      <c r="G31" s="1938" t="s">
        <v>1257</v>
      </c>
      <c r="H31" s="1938" t="s">
        <v>1332</v>
      </c>
      <c r="I31" s="1938" t="s">
        <v>1279</v>
      </c>
      <c r="J31" s="208" t="s">
        <v>1260</v>
      </c>
      <c r="K31" s="1957" t="s">
        <v>1333</v>
      </c>
      <c r="L31" s="1958">
        <v>32270000</v>
      </c>
      <c r="M31" s="270">
        <v>9.2999999999999992E-3</v>
      </c>
      <c r="N31" s="272"/>
      <c r="O31" s="1947"/>
      <c r="P31" s="1947"/>
      <c r="Q31" s="1947"/>
      <c r="R31" s="1947"/>
      <c r="S31" s="1947"/>
      <c r="T31" s="1947"/>
      <c r="U31" s="1948"/>
      <c r="V31" s="1948"/>
      <c r="W31" s="1948"/>
      <c r="X31" s="1948"/>
      <c r="Y31" s="1948"/>
      <c r="Z31" s="1948"/>
      <c r="AA31" s="1948"/>
      <c r="AB31" s="1948"/>
      <c r="AC31" s="1948"/>
      <c r="AD31" s="1948" t="s">
        <v>1262</v>
      </c>
      <c r="AE31" s="1948"/>
      <c r="AF31" s="1948"/>
      <c r="AG31" s="1948"/>
      <c r="AH31" s="1948"/>
      <c r="AI31" s="1948"/>
      <c r="AJ31" s="1948"/>
      <c r="AK31" s="1948"/>
      <c r="AL31" s="1948"/>
      <c r="AM31" s="1948"/>
      <c r="AN31" s="1948"/>
      <c r="AO31" s="1948"/>
      <c r="AP31" s="1948"/>
      <c r="AQ31" s="1948"/>
      <c r="AR31" s="1948"/>
      <c r="AS31" s="1948"/>
      <c r="AT31" s="1948"/>
      <c r="AU31" s="1948"/>
      <c r="AV31" s="1948"/>
      <c r="AW31" s="1948" t="s">
        <v>1262</v>
      </c>
      <c r="AX31" s="1948"/>
      <c r="AY31" s="1948"/>
      <c r="AZ31" s="1959"/>
      <c r="BA31" s="1959"/>
      <c r="BB31" s="1959"/>
      <c r="BC31" s="1959"/>
      <c r="BD31" s="1959"/>
      <c r="BE31" s="1959"/>
      <c r="BF31" s="1959"/>
      <c r="BG31" s="1959"/>
      <c r="BH31" s="1959"/>
      <c r="BI31" s="1959"/>
      <c r="BJ31" s="1959"/>
      <c r="BK31" s="184"/>
      <c r="BL31" s="189"/>
      <c r="BM31" s="189"/>
      <c r="BN31" s="190"/>
      <c r="BO31" s="71"/>
      <c r="BP31" s="68"/>
    </row>
    <row r="32" spans="1:69" s="77" customFormat="1" ht="17.25" customHeight="1">
      <c r="A32" s="67"/>
      <c r="B32" s="269">
        <v>7</v>
      </c>
      <c r="C32" s="1938" t="s">
        <v>399</v>
      </c>
      <c r="D32" s="1939">
        <v>44663</v>
      </c>
      <c r="E32" s="1939">
        <v>45759</v>
      </c>
      <c r="F32" s="1940">
        <f t="shared" si="1"/>
        <v>1096</v>
      </c>
      <c r="G32" s="1938" t="s">
        <v>1257</v>
      </c>
      <c r="H32" s="1938" t="s">
        <v>1334</v>
      </c>
      <c r="I32" s="1938" t="s">
        <v>1266</v>
      </c>
      <c r="J32" s="1938" t="s">
        <v>453</v>
      </c>
      <c r="K32" s="1957" t="s">
        <v>1335</v>
      </c>
      <c r="L32" s="1958">
        <v>2610000</v>
      </c>
      <c r="M32" s="270">
        <v>1.35E-2</v>
      </c>
      <c r="N32" s="272"/>
      <c r="O32" s="1947"/>
      <c r="P32" s="1947"/>
      <c r="Q32" s="1947"/>
      <c r="R32" s="1947"/>
      <c r="S32" s="1947"/>
      <c r="T32" s="1947"/>
      <c r="U32" s="1948"/>
      <c r="V32" s="1948"/>
      <c r="W32" s="1948"/>
      <c r="X32" s="1948"/>
      <c r="Y32" s="1948"/>
      <c r="Z32" s="1948"/>
      <c r="AA32" s="1948"/>
      <c r="AB32" s="1948"/>
      <c r="AC32" s="1948"/>
      <c r="AD32" s="1948"/>
      <c r="AE32" s="1948" t="s">
        <v>1280</v>
      </c>
      <c r="AF32" s="1948"/>
      <c r="AG32" s="1948"/>
      <c r="AH32" s="1948"/>
      <c r="AI32" s="1948"/>
      <c r="AJ32" s="1948"/>
      <c r="AK32" s="1948"/>
      <c r="AL32" s="1948"/>
      <c r="AM32" s="1948"/>
      <c r="AN32" s="1948"/>
      <c r="AO32" s="1948"/>
      <c r="AP32" s="1948"/>
      <c r="AQ32" s="1948"/>
      <c r="AR32" s="1948"/>
      <c r="AS32" s="1948"/>
      <c r="AT32" s="1948"/>
      <c r="AU32" s="1948"/>
      <c r="AV32" s="1948"/>
      <c r="AW32" s="1948"/>
      <c r="AX32" s="1948" t="s">
        <v>1280</v>
      </c>
      <c r="AY32" s="1948"/>
      <c r="AZ32" s="1959"/>
      <c r="BA32" s="1959"/>
      <c r="BB32" s="1959"/>
      <c r="BC32" s="1959"/>
      <c r="BD32" s="1959"/>
      <c r="BE32" s="1959"/>
      <c r="BF32" s="1959"/>
      <c r="BG32" s="1959"/>
      <c r="BH32" s="1959"/>
      <c r="BI32" s="1959"/>
      <c r="BJ32" s="1959"/>
      <c r="BK32" s="184"/>
      <c r="BL32" s="189"/>
      <c r="BM32" s="189"/>
      <c r="BN32" s="190"/>
      <c r="BO32" s="71"/>
      <c r="BP32" s="68"/>
    </row>
    <row r="33" spans="1:69" s="77" customFormat="1" ht="17.25" customHeight="1">
      <c r="A33" s="67"/>
      <c r="B33" s="269">
        <v>24</v>
      </c>
      <c r="C33" s="1938" t="s">
        <v>1275</v>
      </c>
      <c r="D33" s="1939">
        <v>44660</v>
      </c>
      <c r="E33" s="1939">
        <v>45756</v>
      </c>
      <c r="F33" s="1940">
        <f t="shared" si="1"/>
        <v>1096</v>
      </c>
      <c r="G33" s="1938" t="s">
        <v>1257</v>
      </c>
      <c r="H33" s="1938" t="s">
        <v>1336</v>
      </c>
      <c r="I33" s="1938" t="s">
        <v>1266</v>
      </c>
      <c r="J33" s="208" t="s">
        <v>1260</v>
      </c>
      <c r="K33" s="1957" t="s">
        <v>1337</v>
      </c>
      <c r="L33" s="1958">
        <v>320701600</v>
      </c>
      <c r="M33" s="270">
        <v>8.3000000000000001E-3</v>
      </c>
      <c r="N33" s="272"/>
      <c r="O33" s="1947"/>
      <c r="P33" s="1947"/>
      <c r="Q33" s="1947"/>
      <c r="R33" s="1947"/>
      <c r="S33" s="1947"/>
      <c r="T33" s="1947"/>
      <c r="U33" s="1948"/>
      <c r="V33" s="1948"/>
      <c r="W33" s="1948"/>
      <c r="X33" s="1948"/>
      <c r="Y33" s="1948"/>
      <c r="Z33" s="1948"/>
      <c r="AA33" s="1948"/>
      <c r="AB33" s="1948"/>
      <c r="AC33" s="1948"/>
      <c r="AD33" s="1948"/>
      <c r="AE33" s="1948"/>
      <c r="AF33" s="1948"/>
      <c r="AG33" s="1948"/>
      <c r="AH33" s="1948"/>
      <c r="AI33" s="1948"/>
      <c r="AJ33" s="1948"/>
      <c r="AK33" s="1948"/>
      <c r="AL33" s="1948"/>
      <c r="AM33" s="1948"/>
      <c r="AN33" s="1948"/>
      <c r="AO33" s="1948"/>
      <c r="AP33" s="1948"/>
      <c r="AQ33" s="1948"/>
      <c r="AR33" s="1948"/>
      <c r="AS33" s="1948"/>
      <c r="AT33" s="1948"/>
      <c r="AU33" s="1948"/>
      <c r="AV33" s="1948"/>
      <c r="AW33" s="1948"/>
      <c r="AX33" s="1948"/>
      <c r="AY33" s="1948"/>
      <c r="AZ33" s="1959"/>
      <c r="BA33" s="1959"/>
      <c r="BB33" s="1959"/>
      <c r="BC33" s="1959"/>
      <c r="BD33" s="1959"/>
      <c r="BE33" s="1959"/>
      <c r="BF33" s="1959"/>
      <c r="BG33" s="1959"/>
      <c r="BH33" s="1959"/>
      <c r="BI33" s="1959"/>
      <c r="BJ33" s="1959"/>
      <c r="BK33" s="184"/>
      <c r="BL33" s="189"/>
      <c r="BM33" s="189"/>
      <c r="BN33" s="190"/>
      <c r="BO33" s="71"/>
      <c r="BP33" s="68"/>
    </row>
    <row r="34" spans="1:69" s="133" customFormat="1" ht="17.25" customHeight="1">
      <c r="A34" s="67"/>
      <c r="B34" s="269">
        <v>13</v>
      </c>
      <c r="C34" s="1938" t="s">
        <v>1308</v>
      </c>
      <c r="D34" s="1939">
        <v>44325</v>
      </c>
      <c r="E34" s="1939">
        <v>45786</v>
      </c>
      <c r="F34" s="1940">
        <f t="shared" si="1"/>
        <v>1461</v>
      </c>
      <c r="G34" s="1938" t="s">
        <v>1257</v>
      </c>
      <c r="H34" s="1938" t="s">
        <v>1338</v>
      </c>
      <c r="I34" s="1938" t="s">
        <v>1266</v>
      </c>
      <c r="J34" s="1938" t="s">
        <v>1260</v>
      </c>
      <c r="K34" s="1957" t="s">
        <v>1310</v>
      </c>
      <c r="L34" s="1942">
        <v>13284000</v>
      </c>
      <c r="M34" s="270">
        <v>3.2099999999999997E-2</v>
      </c>
      <c r="N34" s="272" t="s">
        <v>1262</v>
      </c>
      <c r="O34" s="1947"/>
      <c r="P34" s="1947"/>
      <c r="Q34" s="1947"/>
      <c r="R34" s="1947"/>
      <c r="S34" s="1947"/>
      <c r="T34" s="1947"/>
      <c r="U34" s="1948"/>
      <c r="V34" s="1948"/>
      <c r="W34" s="1948"/>
      <c r="X34" s="1948"/>
      <c r="Y34" s="1948"/>
      <c r="Z34" s="1948"/>
      <c r="AA34" s="1948"/>
      <c r="AB34" s="1948"/>
      <c r="AC34" s="1948"/>
      <c r="AD34" s="1948"/>
      <c r="AE34" s="1948"/>
      <c r="AF34" s="1948"/>
      <c r="AG34" s="1948" t="s">
        <v>1262</v>
      </c>
      <c r="AH34" s="1948"/>
      <c r="AI34" s="1948"/>
      <c r="AJ34" s="1948"/>
      <c r="AK34" s="1948"/>
      <c r="AL34" s="1948"/>
      <c r="AM34" s="1948"/>
      <c r="AN34" s="1948"/>
      <c r="AO34" s="1948"/>
      <c r="AP34" s="1948"/>
      <c r="AQ34" s="1948"/>
      <c r="AR34" s="1948"/>
      <c r="AS34" s="1948"/>
      <c r="AT34" s="1948"/>
      <c r="AU34" s="1948"/>
      <c r="AV34" s="1948"/>
      <c r="AW34" s="1948"/>
      <c r="AX34" s="1948"/>
      <c r="AY34" s="1961"/>
      <c r="AZ34" s="1948" t="s">
        <v>1262</v>
      </c>
      <c r="BA34" s="1948"/>
      <c r="BB34" s="1948"/>
      <c r="BC34" s="1948"/>
      <c r="BD34" s="1948"/>
      <c r="BE34" s="1948"/>
      <c r="BF34" s="1948"/>
      <c r="BG34" s="1948"/>
      <c r="BH34" s="1948"/>
      <c r="BI34" s="1948"/>
      <c r="BJ34" s="1947"/>
      <c r="BK34" s="184"/>
      <c r="BL34" s="189"/>
      <c r="BM34" s="189"/>
      <c r="BN34" s="190"/>
      <c r="BO34" s="71"/>
      <c r="BP34" s="68"/>
    </row>
    <row r="35" spans="1:69" s="133" customFormat="1" ht="17.25" customHeight="1">
      <c r="A35" s="67"/>
      <c r="B35" s="269" t="s">
        <v>1300</v>
      </c>
      <c r="C35" s="1938" t="s">
        <v>1297</v>
      </c>
      <c r="D35" s="1939">
        <v>44325</v>
      </c>
      <c r="E35" s="1939">
        <v>45786</v>
      </c>
      <c r="F35" s="1940">
        <f t="shared" si="1"/>
        <v>1461</v>
      </c>
      <c r="G35" s="1938" t="s">
        <v>1257</v>
      </c>
      <c r="H35" s="1938" t="s">
        <v>1339</v>
      </c>
      <c r="I35" s="1938" t="s">
        <v>1266</v>
      </c>
      <c r="J35" s="1938" t="s">
        <v>1260</v>
      </c>
      <c r="K35" s="1941" t="s">
        <v>1302</v>
      </c>
      <c r="L35" s="1942">
        <v>399626000</v>
      </c>
      <c r="M35" s="270">
        <v>3.2099999999999997E-2</v>
      </c>
      <c r="N35" s="272" t="s">
        <v>1262</v>
      </c>
      <c r="O35" s="1947"/>
      <c r="P35" s="1947"/>
      <c r="Q35" s="1947"/>
      <c r="R35" s="1947"/>
      <c r="S35" s="1947"/>
      <c r="T35" s="1947"/>
      <c r="U35" s="1948"/>
      <c r="V35" s="1948"/>
      <c r="W35" s="1948"/>
      <c r="X35" s="1948"/>
      <c r="Y35" s="1948"/>
      <c r="Z35" s="1948"/>
      <c r="AA35" s="1948"/>
      <c r="AB35" s="1948"/>
      <c r="AC35" s="1948"/>
      <c r="AD35" s="1948"/>
      <c r="AE35" s="1948"/>
      <c r="AF35" s="1948"/>
      <c r="AG35" s="1948" t="s">
        <v>1262</v>
      </c>
      <c r="AH35" s="1948"/>
      <c r="AI35" s="1948"/>
      <c r="AJ35" s="1948"/>
      <c r="AK35" s="1948"/>
      <c r="AL35" s="1948"/>
      <c r="AM35" s="1948"/>
      <c r="AN35" s="1948"/>
      <c r="AO35" s="1948"/>
      <c r="AP35" s="1948"/>
      <c r="AQ35" s="1948"/>
      <c r="AR35" s="1948"/>
      <c r="AS35" s="1948"/>
      <c r="AT35" s="1948"/>
      <c r="AU35" s="1948"/>
      <c r="AV35" s="1948"/>
      <c r="AW35" s="1948"/>
      <c r="AX35" s="1948"/>
      <c r="AY35" s="1961"/>
      <c r="AZ35" s="1948" t="s">
        <v>1262</v>
      </c>
      <c r="BA35" s="1948"/>
      <c r="BB35" s="1948"/>
      <c r="BC35" s="1948"/>
      <c r="BD35" s="1948"/>
      <c r="BE35" s="1948"/>
      <c r="BF35" s="1948"/>
      <c r="BG35" s="1948"/>
      <c r="BH35" s="1948"/>
      <c r="BI35" s="1948"/>
      <c r="BJ35" s="1947"/>
      <c r="BK35" s="184"/>
      <c r="BL35" s="189"/>
      <c r="BM35" s="189"/>
      <c r="BN35" s="190"/>
      <c r="BO35" s="71"/>
      <c r="BP35" s="68"/>
    </row>
    <row r="36" spans="1:69" s="133" customFormat="1" ht="16.5" customHeight="1">
      <c r="A36" s="67"/>
      <c r="B36" s="269">
        <v>33</v>
      </c>
      <c r="C36" s="1938" t="s">
        <v>1297</v>
      </c>
      <c r="D36" s="1939">
        <v>44325</v>
      </c>
      <c r="E36" s="1939">
        <v>45786</v>
      </c>
      <c r="F36" s="1940">
        <f t="shared" si="1"/>
        <v>1461</v>
      </c>
      <c r="G36" s="1938" t="s">
        <v>1257</v>
      </c>
      <c r="H36" s="1938" t="s">
        <v>1340</v>
      </c>
      <c r="I36" s="1938" t="s">
        <v>1266</v>
      </c>
      <c r="J36" s="1938" t="s">
        <v>1260</v>
      </c>
      <c r="K36" s="1941" t="s">
        <v>1307</v>
      </c>
      <c r="L36" s="1942">
        <v>35314000</v>
      </c>
      <c r="M36" s="270">
        <v>3.2099999999999997E-2</v>
      </c>
      <c r="N36" s="272" t="s">
        <v>1262</v>
      </c>
      <c r="O36" s="1947"/>
      <c r="P36" s="1947"/>
      <c r="Q36" s="1947"/>
      <c r="R36" s="1947"/>
      <c r="S36" s="1947"/>
      <c r="T36" s="1947"/>
      <c r="U36" s="1948"/>
      <c r="V36" s="1948"/>
      <c r="W36" s="1948"/>
      <c r="X36" s="1948"/>
      <c r="Y36" s="1948"/>
      <c r="Z36" s="1948"/>
      <c r="AA36" s="1948"/>
      <c r="AB36" s="1948"/>
      <c r="AC36" s="1948"/>
      <c r="AD36" s="1948"/>
      <c r="AE36" s="1948"/>
      <c r="AF36" s="1948"/>
      <c r="AG36" s="1948" t="s">
        <v>1262</v>
      </c>
      <c r="AH36" s="1948"/>
      <c r="AI36" s="1948"/>
      <c r="AJ36" s="1948"/>
      <c r="AK36" s="1948"/>
      <c r="AL36" s="1948"/>
      <c r="AM36" s="1948"/>
      <c r="AN36" s="1948"/>
      <c r="AO36" s="1948"/>
      <c r="AP36" s="1948"/>
      <c r="AQ36" s="1948"/>
      <c r="AR36" s="1948"/>
      <c r="AS36" s="1948"/>
      <c r="AT36" s="1948"/>
      <c r="AU36" s="1948"/>
      <c r="AV36" s="1948"/>
      <c r="AW36" s="1948"/>
      <c r="AX36" s="1948"/>
      <c r="AY36" s="1961"/>
      <c r="AZ36" s="1948" t="s">
        <v>1262</v>
      </c>
      <c r="BA36" s="1948"/>
      <c r="BB36" s="1948"/>
      <c r="BC36" s="1948"/>
      <c r="BD36" s="1948"/>
      <c r="BE36" s="1948"/>
      <c r="BF36" s="1948"/>
      <c r="BG36" s="1948"/>
      <c r="BH36" s="1948"/>
      <c r="BI36" s="1948"/>
      <c r="BJ36" s="1947"/>
      <c r="BK36" s="184"/>
      <c r="BL36" s="189"/>
      <c r="BM36" s="189"/>
      <c r="BN36" s="190"/>
      <c r="BO36" s="71"/>
      <c r="BP36" s="68"/>
    </row>
    <row r="37" spans="1:69" s="133" customFormat="1" ht="17.25" customHeight="1">
      <c r="A37" s="67"/>
      <c r="B37" s="269">
        <v>13</v>
      </c>
      <c r="C37" s="1938" t="s">
        <v>1297</v>
      </c>
      <c r="D37" s="1939">
        <v>44325</v>
      </c>
      <c r="E37" s="1939">
        <v>45786</v>
      </c>
      <c r="F37" s="1940">
        <f t="shared" si="1"/>
        <v>1461</v>
      </c>
      <c r="G37" s="1938" t="s">
        <v>1257</v>
      </c>
      <c r="H37" s="1938" t="s">
        <v>1341</v>
      </c>
      <c r="I37" s="1938" t="s">
        <v>1266</v>
      </c>
      <c r="J37" s="1938" t="s">
        <v>1260</v>
      </c>
      <c r="K37" s="1941" t="s">
        <v>1304</v>
      </c>
      <c r="L37" s="1942">
        <v>207491000</v>
      </c>
      <c r="M37" s="270">
        <v>3.2099999999999997E-2</v>
      </c>
      <c r="N37" s="272" t="s">
        <v>1262</v>
      </c>
      <c r="O37" s="1947"/>
      <c r="P37" s="1947"/>
      <c r="Q37" s="1947"/>
      <c r="R37" s="1947"/>
      <c r="S37" s="1947"/>
      <c r="T37" s="1947"/>
      <c r="U37" s="1948"/>
      <c r="V37" s="1948"/>
      <c r="W37" s="1948"/>
      <c r="X37" s="1948"/>
      <c r="Y37" s="1948"/>
      <c r="Z37" s="1948"/>
      <c r="AA37" s="1948"/>
      <c r="AB37" s="1948"/>
      <c r="AC37" s="1948"/>
      <c r="AD37" s="1948"/>
      <c r="AE37" s="1948"/>
      <c r="AF37" s="1948"/>
      <c r="AG37" s="1948" t="s">
        <v>1262</v>
      </c>
      <c r="AH37" s="1948"/>
      <c r="AI37" s="1948"/>
      <c r="AJ37" s="1948"/>
      <c r="AK37" s="1948"/>
      <c r="AL37" s="1948"/>
      <c r="AM37" s="1948"/>
      <c r="AN37" s="1948"/>
      <c r="AO37" s="1948"/>
      <c r="AP37" s="1948"/>
      <c r="AQ37" s="1948"/>
      <c r="AR37" s="1948"/>
      <c r="AS37" s="1948"/>
      <c r="AT37" s="1948"/>
      <c r="AU37" s="1948"/>
      <c r="AV37" s="1948"/>
      <c r="AW37" s="1948"/>
      <c r="AX37" s="1948"/>
      <c r="AY37" s="1961"/>
      <c r="AZ37" s="1948" t="s">
        <v>1262</v>
      </c>
      <c r="BA37" s="1948"/>
      <c r="BB37" s="1948"/>
      <c r="BC37" s="1948"/>
      <c r="BD37" s="1948"/>
      <c r="BE37" s="1948"/>
      <c r="BF37" s="1948"/>
      <c r="BG37" s="1948"/>
      <c r="BH37" s="1948"/>
      <c r="BI37" s="1948"/>
      <c r="BJ37" s="1947"/>
      <c r="BK37" s="184"/>
      <c r="BL37" s="189"/>
      <c r="BM37" s="189"/>
      <c r="BN37" s="190"/>
      <c r="BO37" s="71"/>
      <c r="BP37" s="68"/>
      <c r="BQ37" s="77"/>
    </row>
    <row r="38" spans="1:69" s="133" customFormat="1" ht="17.25" customHeight="1">
      <c r="A38" s="67"/>
      <c r="B38" s="269" t="s">
        <v>1311</v>
      </c>
      <c r="C38" s="1938" t="s">
        <v>1256</v>
      </c>
      <c r="D38" s="1939">
        <v>44325</v>
      </c>
      <c r="E38" s="1939">
        <v>45786</v>
      </c>
      <c r="F38" s="1940">
        <f t="shared" si="1"/>
        <v>1461</v>
      </c>
      <c r="G38" s="1938" t="s">
        <v>1257</v>
      </c>
      <c r="H38" s="1938" t="s">
        <v>1342</v>
      </c>
      <c r="I38" s="1938" t="s">
        <v>1266</v>
      </c>
      <c r="J38" s="1938" t="s">
        <v>1260</v>
      </c>
      <c r="K38" s="1941" t="s">
        <v>1261</v>
      </c>
      <c r="L38" s="1942">
        <v>1182991190</v>
      </c>
      <c r="M38" s="270">
        <v>3.2099999999999997E-2</v>
      </c>
      <c r="N38" s="272" t="s">
        <v>1262</v>
      </c>
      <c r="O38" s="1947"/>
      <c r="P38" s="1947"/>
      <c r="Q38" s="1947"/>
      <c r="R38" s="1947"/>
      <c r="S38" s="1947"/>
      <c r="T38" s="1947"/>
      <c r="U38" s="1948"/>
      <c r="V38" s="1948"/>
      <c r="W38" s="1948"/>
      <c r="X38" s="1948"/>
      <c r="Y38" s="1948"/>
      <c r="Z38" s="1948"/>
      <c r="AA38" s="1948"/>
      <c r="AB38" s="1948"/>
      <c r="AC38" s="1948"/>
      <c r="AD38" s="1948"/>
      <c r="AE38" s="1948"/>
      <c r="AF38" s="1948"/>
      <c r="AG38" s="1948" t="s">
        <v>1262</v>
      </c>
      <c r="AH38" s="1948"/>
      <c r="AI38" s="1948"/>
      <c r="AJ38" s="1948"/>
      <c r="AK38" s="1948"/>
      <c r="AL38" s="1948"/>
      <c r="AM38" s="1948"/>
      <c r="AN38" s="1948"/>
      <c r="AO38" s="1948"/>
      <c r="AP38" s="1948"/>
      <c r="AQ38" s="1948"/>
      <c r="AR38" s="1948"/>
      <c r="AS38" s="1948"/>
      <c r="AT38" s="1948"/>
      <c r="AU38" s="1948"/>
      <c r="AV38" s="1948"/>
      <c r="AW38" s="1948"/>
      <c r="AX38" s="1948"/>
      <c r="AY38" s="1961"/>
      <c r="AZ38" s="1948" t="s">
        <v>1262</v>
      </c>
      <c r="BA38" s="1948"/>
      <c r="BB38" s="1948"/>
      <c r="BC38" s="1948"/>
      <c r="BD38" s="1948"/>
      <c r="BE38" s="1948"/>
      <c r="BF38" s="1948"/>
      <c r="BG38" s="1948"/>
      <c r="BH38" s="1948"/>
      <c r="BI38" s="1948"/>
      <c r="BJ38" s="1947"/>
      <c r="BK38" s="184"/>
      <c r="BL38" s="189"/>
      <c r="BM38" s="189"/>
      <c r="BN38" s="190"/>
      <c r="BO38" s="71"/>
      <c r="BP38" s="68"/>
    </row>
    <row r="39" spans="1:69" s="133" customFormat="1" ht="17.25" customHeight="1">
      <c r="A39" s="67"/>
      <c r="B39" s="269">
        <v>17</v>
      </c>
      <c r="C39" s="1938" t="s">
        <v>1343</v>
      </c>
      <c r="D39" s="1939">
        <v>44326</v>
      </c>
      <c r="E39" s="1939">
        <v>45787</v>
      </c>
      <c r="F39" s="1940">
        <f t="shared" si="1"/>
        <v>1461</v>
      </c>
      <c r="G39" s="1938" t="s">
        <v>396</v>
      </c>
      <c r="H39" s="1938" t="s">
        <v>1344</v>
      </c>
      <c r="I39" s="1938" t="s">
        <v>1266</v>
      </c>
      <c r="J39" s="1938" t="s">
        <v>1260</v>
      </c>
      <c r="K39" s="1946" t="s">
        <v>1345</v>
      </c>
      <c r="L39" s="1942">
        <v>1264294000</v>
      </c>
      <c r="M39" s="270">
        <v>3.2300000000000002E-2</v>
      </c>
      <c r="N39" s="272"/>
      <c r="O39" s="1948" t="s">
        <v>1280</v>
      </c>
      <c r="P39" s="1948"/>
      <c r="Q39" s="1948"/>
      <c r="R39" s="1948"/>
      <c r="S39" s="1948"/>
      <c r="T39" s="1948"/>
      <c r="U39" s="1948"/>
      <c r="V39" s="1948"/>
      <c r="W39" s="1948"/>
      <c r="X39" s="1948"/>
      <c r="Y39" s="1948"/>
      <c r="Z39" s="1948"/>
      <c r="AA39" s="1948"/>
      <c r="AB39" s="1948"/>
      <c r="AC39" s="1948"/>
      <c r="AD39" s="1948"/>
      <c r="AE39" s="1948"/>
      <c r="AF39" s="1948"/>
      <c r="AG39" s="1948"/>
      <c r="AH39" s="1948" t="s">
        <v>1262</v>
      </c>
      <c r="AI39" s="1948"/>
      <c r="AJ39" s="1948"/>
      <c r="AK39" s="1948"/>
      <c r="AL39" s="1948"/>
      <c r="AM39" s="1948"/>
      <c r="AN39" s="1948"/>
      <c r="AO39" s="1948"/>
      <c r="AP39" s="1948"/>
      <c r="AQ39" s="1948"/>
      <c r="AR39" s="1948"/>
      <c r="AS39" s="1948"/>
      <c r="AT39" s="1948"/>
      <c r="AU39" s="1948"/>
      <c r="AV39" s="1948"/>
      <c r="AW39" s="1948"/>
      <c r="AX39" s="1948"/>
      <c r="AY39" s="1961"/>
      <c r="AZ39" s="1948"/>
      <c r="BA39" s="1948" t="s">
        <v>1262</v>
      </c>
      <c r="BB39" s="1948"/>
      <c r="BC39" s="1948"/>
      <c r="BD39" s="1948"/>
      <c r="BE39" s="1948"/>
      <c r="BF39" s="1948"/>
      <c r="BG39" s="1948"/>
      <c r="BH39" s="1948"/>
      <c r="BI39" s="1948"/>
      <c r="BJ39" s="1947"/>
      <c r="BK39" s="191">
        <f>+L39</f>
        <v>1264294000</v>
      </c>
      <c r="BL39" s="281">
        <v>1142075000</v>
      </c>
      <c r="BM39" s="189">
        <f>+BK39-BL39</f>
        <v>122219000</v>
      </c>
      <c r="BN39" s="205" t="s">
        <v>1263</v>
      </c>
      <c r="BO39" s="71"/>
      <c r="BP39" s="68"/>
    </row>
    <row r="40" spans="1:69" s="133" customFormat="1" ht="17.25" customHeight="1">
      <c r="A40" s="67"/>
      <c r="B40" s="269">
        <v>7</v>
      </c>
      <c r="C40" s="1938" t="s">
        <v>1331</v>
      </c>
      <c r="D40" s="1939">
        <v>44327</v>
      </c>
      <c r="E40" s="1939">
        <v>45788</v>
      </c>
      <c r="F40" s="1940">
        <f t="shared" si="1"/>
        <v>1461</v>
      </c>
      <c r="G40" s="1938" t="s">
        <v>1257</v>
      </c>
      <c r="H40" s="1938" t="s">
        <v>1346</v>
      </c>
      <c r="I40" s="1938" t="s">
        <v>1266</v>
      </c>
      <c r="J40" s="1938" t="s">
        <v>1260</v>
      </c>
      <c r="K40" s="1957" t="s">
        <v>1335</v>
      </c>
      <c r="L40" s="1958">
        <v>135350000</v>
      </c>
      <c r="M40" s="270">
        <v>3.2099999999999997E-2</v>
      </c>
      <c r="N40" s="272"/>
      <c r="O40" s="1947"/>
      <c r="P40" s="1947" t="s">
        <v>1262</v>
      </c>
      <c r="Q40" s="1947"/>
      <c r="R40" s="1947"/>
      <c r="S40" s="1947"/>
      <c r="T40" s="1947"/>
      <c r="U40" s="1948"/>
      <c r="V40" s="1948"/>
      <c r="W40" s="1948"/>
      <c r="X40" s="1948"/>
      <c r="Y40" s="1948"/>
      <c r="Z40" s="1948"/>
      <c r="AA40" s="1948"/>
      <c r="AB40" s="1948"/>
      <c r="AC40" s="1948"/>
      <c r="AD40" s="1948"/>
      <c r="AE40" s="1948"/>
      <c r="AF40" s="1948"/>
      <c r="AG40" s="1948"/>
      <c r="AH40" s="1948"/>
      <c r="AI40" s="1948" t="s">
        <v>1262</v>
      </c>
      <c r="AJ40" s="1948"/>
      <c r="AK40" s="1948"/>
      <c r="AL40" s="1948"/>
      <c r="AM40" s="1948"/>
      <c r="AN40" s="1948"/>
      <c r="AO40" s="1948"/>
      <c r="AP40" s="1948"/>
      <c r="AQ40" s="1948"/>
      <c r="AR40" s="1948"/>
      <c r="AS40" s="1948"/>
      <c r="AT40" s="1948"/>
      <c r="AU40" s="1948"/>
      <c r="AV40" s="1948"/>
      <c r="AW40" s="1948"/>
      <c r="AX40" s="1948"/>
      <c r="AY40" s="1961"/>
      <c r="AZ40" s="1948"/>
      <c r="BA40" s="1948"/>
      <c r="BB40" s="1948" t="s">
        <v>1262</v>
      </c>
      <c r="BC40" s="1948"/>
      <c r="BD40" s="1948"/>
      <c r="BE40" s="1948"/>
      <c r="BF40" s="1948"/>
      <c r="BG40" s="1948"/>
      <c r="BH40" s="1948"/>
      <c r="BI40" s="1948"/>
      <c r="BJ40" s="1947"/>
      <c r="BK40" s="191"/>
      <c r="BL40" s="185"/>
      <c r="BM40" s="185"/>
      <c r="BN40" s="180"/>
      <c r="BO40" s="71"/>
      <c r="BP40" s="68"/>
    </row>
    <row r="41" spans="1:69" s="133" customFormat="1" ht="17.25" customHeight="1">
      <c r="A41" s="67"/>
      <c r="B41" s="269" t="s">
        <v>1330</v>
      </c>
      <c r="C41" s="1938" t="s">
        <v>1331</v>
      </c>
      <c r="D41" s="1939">
        <v>44327</v>
      </c>
      <c r="E41" s="1939">
        <v>45788</v>
      </c>
      <c r="F41" s="1940">
        <f t="shared" si="1"/>
        <v>1461</v>
      </c>
      <c r="G41" s="1938" t="s">
        <v>1257</v>
      </c>
      <c r="H41" s="1938" t="s">
        <v>1347</v>
      </c>
      <c r="I41" s="1938" t="s">
        <v>1266</v>
      </c>
      <c r="J41" s="1938" t="s">
        <v>1260</v>
      </c>
      <c r="K41" s="1957" t="s">
        <v>1333</v>
      </c>
      <c r="L41" s="1958">
        <v>394110000</v>
      </c>
      <c r="M41" s="270">
        <v>3.2099999999999997E-2</v>
      </c>
      <c r="N41" s="272"/>
      <c r="O41" s="1947"/>
      <c r="P41" s="1947" t="s">
        <v>1262</v>
      </c>
      <c r="Q41" s="1947"/>
      <c r="R41" s="1947"/>
      <c r="S41" s="1947"/>
      <c r="T41" s="1947"/>
      <c r="U41" s="1948"/>
      <c r="V41" s="1948"/>
      <c r="W41" s="1948"/>
      <c r="X41" s="1948"/>
      <c r="Y41" s="1948"/>
      <c r="Z41" s="1948"/>
      <c r="AA41" s="1948"/>
      <c r="AB41" s="1948"/>
      <c r="AC41" s="1948"/>
      <c r="AD41" s="1948"/>
      <c r="AE41" s="1948"/>
      <c r="AF41" s="1948"/>
      <c r="AG41" s="1948"/>
      <c r="AH41" s="1948"/>
      <c r="AI41" s="1948" t="s">
        <v>1262</v>
      </c>
      <c r="AJ41" s="1948"/>
      <c r="AK41" s="1948"/>
      <c r="AL41" s="1948"/>
      <c r="AM41" s="1948"/>
      <c r="AN41" s="1948"/>
      <c r="AO41" s="1948"/>
      <c r="AP41" s="1948"/>
      <c r="AQ41" s="1948"/>
      <c r="AR41" s="1948"/>
      <c r="AS41" s="1948"/>
      <c r="AT41" s="1948"/>
      <c r="AU41" s="1948"/>
      <c r="AV41" s="1948"/>
      <c r="AW41" s="1948"/>
      <c r="AX41" s="1948"/>
      <c r="AY41" s="1961"/>
      <c r="AZ41" s="1948"/>
      <c r="BA41" s="1948"/>
      <c r="BB41" s="1948" t="s">
        <v>1262</v>
      </c>
      <c r="BC41" s="1948"/>
      <c r="BD41" s="1948"/>
      <c r="BE41" s="1948"/>
      <c r="BF41" s="1948"/>
      <c r="BG41" s="1948"/>
      <c r="BH41" s="1948"/>
      <c r="BI41" s="1948"/>
      <c r="BJ41" s="1947"/>
      <c r="BK41" s="191"/>
      <c r="BL41" s="185"/>
      <c r="BM41" s="185"/>
      <c r="BN41" s="180"/>
      <c r="BO41" s="71"/>
      <c r="BP41" s="68"/>
    </row>
    <row r="42" spans="1:69" s="133" customFormat="1" ht="17.25" customHeight="1">
      <c r="A42" s="67"/>
      <c r="B42" s="269">
        <v>9</v>
      </c>
      <c r="C42" s="1938" t="s">
        <v>1324</v>
      </c>
      <c r="D42" s="1939">
        <v>44327</v>
      </c>
      <c r="E42" s="1939">
        <v>45788</v>
      </c>
      <c r="F42" s="1940">
        <f t="shared" si="1"/>
        <v>1461</v>
      </c>
      <c r="G42" s="1938" t="s">
        <v>1257</v>
      </c>
      <c r="H42" s="1938" t="s">
        <v>1348</v>
      </c>
      <c r="I42" s="1938" t="s">
        <v>1266</v>
      </c>
      <c r="J42" s="1938" t="s">
        <v>1260</v>
      </c>
      <c r="K42" s="1960" t="s">
        <v>1326</v>
      </c>
      <c r="L42" s="1958">
        <v>117030000</v>
      </c>
      <c r="M42" s="270">
        <v>3.2099999999999997E-2</v>
      </c>
      <c r="N42" s="272"/>
      <c r="O42" s="1947"/>
      <c r="P42" s="1947" t="s">
        <v>1262</v>
      </c>
      <c r="Q42" s="1947"/>
      <c r="R42" s="1947"/>
      <c r="S42" s="1947"/>
      <c r="T42" s="1947"/>
      <c r="U42" s="1948"/>
      <c r="V42" s="1948"/>
      <c r="W42" s="1948"/>
      <c r="X42" s="1948"/>
      <c r="Y42" s="1948"/>
      <c r="Z42" s="1948"/>
      <c r="AA42" s="1948"/>
      <c r="AB42" s="1948"/>
      <c r="AC42" s="1948"/>
      <c r="AD42" s="1948"/>
      <c r="AE42" s="1948"/>
      <c r="AF42" s="1948"/>
      <c r="AG42" s="1948"/>
      <c r="AH42" s="1948"/>
      <c r="AI42" s="1948" t="s">
        <v>1262</v>
      </c>
      <c r="AJ42" s="1948"/>
      <c r="AK42" s="1948"/>
      <c r="AL42" s="1948"/>
      <c r="AM42" s="1948"/>
      <c r="AN42" s="1948"/>
      <c r="AO42" s="1948"/>
      <c r="AP42" s="1948"/>
      <c r="AQ42" s="1948"/>
      <c r="AR42" s="1948"/>
      <c r="AS42" s="1948"/>
      <c r="AT42" s="1948"/>
      <c r="AU42" s="1948"/>
      <c r="AV42" s="1948"/>
      <c r="AW42" s="1948"/>
      <c r="AX42" s="1948"/>
      <c r="AY42" s="1961"/>
      <c r="AZ42" s="1948"/>
      <c r="BA42" s="1948"/>
      <c r="BB42" s="1948" t="s">
        <v>1262</v>
      </c>
      <c r="BC42" s="1948"/>
      <c r="BD42" s="1948"/>
      <c r="BE42" s="1948"/>
      <c r="BF42" s="1948"/>
      <c r="BG42" s="1948"/>
      <c r="BH42" s="1948"/>
      <c r="BI42" s="1948"/>
      <c r="BJ42" s="1947"/>
      <c r="BK42" s="191">
        <f>+L29+L42</f>
        <v>131740000</v>
      </c>
      <c r="BL42" s="185">
        <f>+BK42-BM42</f>
        <v>58740000</v>
      </c>
      <c r="BM42" s="185">
        <v>73000000</v>
      </c>
      <c r="BN42" s="205" t="s">
        <v>1349</v>
      </c>
      <c r="BO42" s="71"/>
      <c r="BP42" s="141"/>
    </row>
    <row r="43" spans="1:69" s="133" customFormat="1" ht="17.25" customHeight="1">
      <c r="A43" s="67"/>
      <c r="B43" s="269" t="s">
        <v>1350</v>
      </c>
      <c r="C43" s="1938" t="s">
        <v>1291</v>
      </c>
      <c r="D43" s="1939">
        <v>44327</v>
      </c>
      <c r="E43" s="1939">
        <v>45788</v>
      </c>
      <c r="F43" s="1940">
        <f t="shared" si="1"/>
        <v>1461</v>
      </c>
      <c r="G43" s="1938" t="s">
        <v>1257</v>
      </c>
      <c r="H43" s="1938" t="s">
        <v>1351</v>
      </c>
      <c r="I43" s="1938" t="s">
        <v>1266</v>
      </c>
      <c r="J43" s="1938" t="s">
        <v>1260</v>
      </c>
      <c r="K43" s="1941" t="s">
        <v>1352</v>
      </c>
      <c r="L43" s="1942">
        <v>550697000</v>
      </c>
      <c r="M43" s="270">
        <v>3.2099999999999997E-2</v>
      </c>
      <c r="N43" s="272"/>
      <c r="O43" s="1947"/>
      <c r="P43" s="1947" t="s">
        <v>1262</v>
      </c>
      <c r="Q43" s="1947"/>
      <c r="R43" s="1947"/>
      <c r="S43" s="1947"/>
      <c r="T43" s="1947"/>
      <c r="U43" s="1948"/>
      <c r="V43" s="1948"/>
      <c r="W43" s="1948"/>
      <c r="X43" s="1948"/>
      <c r="Y43" s="1948"/>
      <c r="Z43" s="1948"/>
      <c r="AA43" s="1948"/>
      <c r="AB43" s="1948"/>
      <c r="AC43" s="1948"/>
      <c r="AD43" s="1948"/>
      <c r="AE43" s="1948"/>
      <c r="AF43" s="1948"/>
      <c r="AG43" s="1948"/>
      <c r="AH43" s="1948"/>
      <c r="AI43" s="1948" t="s">
        <v>1262</v>
      </c>
      <c r="AJ43" s="1948"/>
      <c r="AK43" s="1948"/>
      <c r="AL43" s="1948"/>
      <c r="AM43" s="1948"/>
      <c r="AN43" s="1948"/>
      <c r="AO43" s="1948"/>
      <c r="AP43" s="1948"/>
      <c r="AQ43" s="1948"/>
      <c r="AR43" s="1948"/>
      <c r="AS43" s="1948"/>
      <c r="AT43" s="1948"/>
      <c r="AU43" s="1948"/>
      <c r="AV43" s="1948"/>
      <c r="AW43" s="1948"/>
      <c r="AX43" s="1948"/>
      <c r="AY43" s="1961"/>
      <c r="AZ43" s="1948"/>
      <c r="BA43" s="1948"/>
      <c r="BB43" s="1948" t="s">
        <v>1262</v>
      </c>
      <c r="BC43" s="1948"/>
      <c r="BD43" s="1948"/>
      <c r="BE43" s="1948"/>
      <c r="BF43" s="1948"/>
      <c r="BG43" s="1948"/>
      <c r="BH43" s="1948"/>
      <c r="BI43" s="1948"/>
      <c r="BJ43" s="1947"/>
      <c r="BK43" s="191">
        <f>++L43</f>
        <v>550697000</v>
      </c>
      <c r="BL43" s="185">
        <f>+BK43-BM43</f>
        <v>346697000</v>
      </c>
      <c r="BM43" s="185">
        <v>204000000</v>
      </c>
      <c r="BN43" s="205" t="s">
        <v>1294</v>
      </c>
      <c r="BO43" s="71"/>
      <c r="BP43" s="68"/>
    </row>
    <row r="44" spans="1:69" s="133" customFormat="1" ht="17.25" customHeight="1">
      <c r="A44" s="67"/>
      <c r="B44" s="269">
        <v>14</v>
      </c>
      <c r="C44" s="1938" t="s">
        <v>400</v>
      </c>
      <c r="D44" s="1939">
        <v>44327</v>
      </c>
      <c r="E44" s="1939">
        <v>45788</v>
      </c>
      <c r="F44" s="1940">
        <f t="shared" si="1"/>
        <v>1461</v>
      </c>
      <c r="G44" s="1938" t="s">
        <v>1353</v>
      </c>
      <c r="H44" s="1938" t="s">
        <v>1354</v>
      </c>
      <c r="I44" s="1938" t="s">
        <v>1266</v>
      </c>
      <c r="J44" s="1938" t="s">
        <v>1306</v>
      </c>
      <c r="K44" s="1941" t="s">
        <v>401</v>
      </c>
      <c r="L44" s="1942">
        <v>771722000</v>
      </c>
      <c r="M44" s="270">
        <v>1.7500000000000002E-2</v>
      </c>
      <c r="N44" s="282" t="s">
        <v>1280</v>
      </c>
      <c r="O44" s="1948"/>
      <c r="P44" s="1948"/>
      <c r="Q44" s="1948"/>
      <c r="R44" s="1948"/>
      <c r="S44" s="1948"/>
      <c r="T44" s="1948"/>
      <c r="U44" s="1948"/>
      <c r="V44" s="1948"/>
      <c r="W44" s="1948"/>
      <c r="X44" s="1948"/>
      <c r="Y44" s="1948"/>
      <c r="Z44" s="1948"/>
      <c r="AA44" s="1948"/>
      <c r="AB44" s="1948"/>
      <c r="AC44" s="1948"/>
      <c r="AD44" s="1948"/>
      <c r="AE44" s="1948"/>
      <c r="AF44" s="1948"/>
      <c r="AG44" s="1948" t="s">
        <v>1280</v>
      </c>
      <c r="AH44" s="1948"/>
      <c r="AI44" s="1948"/>
      <c r="AJ44" s="1948"/>
      <c r="AK44" s="1948"/>
      <c r="AL44" s="1948"/>
      <c r="AM44" s="1948"/>
      <c r="AN44" s="1948"/>
      <c r="AO44" s="1948"/>
      <c r="AP44" s="1948"/>
      <c r="AQ44" s="1948"/>
      <c r="AR44" s="1948"/>
      <c r="AS44" s="1948"/>
      <c r="AT44" s="1948"/>
      <c r="AU44" s="1948"/>
      <c r="AV44" s="1948"/>
      <c r="AW44" s="1948"/>
      <c r="AX44" s="1948"/>
      <c r="AY44" s="1961"/>
      <c r="AZ44" s="1948"/>
      <c r="BA44" s="1948"/>
      <c r="BB44" s="1948" t="s">
        <v>1262</v>
      </c>
      <c r="BC44" s="1948"/>
      <c r="BD44" s="1948"/>
      <c r="BE44" s="1948"/>
      <c r="BF44" s="1948"/>
      <c r="BG44" s="1948"/>
      <c r="BH44" s="1948"/>
      <c r="BI44" s="1948"/>
      <c r="BJ44" s="1947"/>
      <c r="BK44" s="184"/>
      <c r="BL44" s="189"/>
      <c r="BM44" s="189"/>
      <c r="BN44" s="190"/>
      <c r="BO44" s="71"/>
      <c r="BP44" s="68"/>
    </row>
    <row r="45" spans="1:69" s="133" customFormat="1" ht="17.25" customHeight="1">
      <c r="A45" s="67"/>
      <c r="B45" s="1962" t="s">
        <v>2136</v>
      </c>
      <c r="C45" s="1938" t="s">
        <v>1355</v>
      </c>
      <c r="D45" s="1939">
        <v>44327</v>
      </c>
      <c r="E45" s="1939">
        <v>45788</v>
      </c>
      <c r="F45" s="1940">
        <f t="shared" si="1"/>
        <v>1461</v>
      </c>
      <c r="G45" s="1938" t="s">
        <v>1353</v>
      </c>
      <c r="H45" s="1938" t="s">
        <v>1356</v>
      </c>
      <c r="I45" s="1938" t="s">
        <v>1266</v>
      </c>
      <c r="J45" s="1938" t="s">
        <v>1306</v>
      </c>
      <c r="K45" s="1941" t="s">
        <v>1357</v>
      </c>
      <c r="L45" s="1942">
        <v>1952251000</v>
      </c>
      <c r="M45" s="270">
        <v>1.7500000000000002E-2</v>
      </c>
      <c r="N45" s="282" t="s">
        <v>1280</v>
      </c>
      <c r="O45" s="1948"/>
      <c r="P45" s="1948"/>
      <c r="Q45" s="1948"/>
      <c r="R45" s="1948"/>
      <c r="S45" s="1948"/>
      <c r="T45" s="1948"/>
      <c r="U45" s="1948"/>
      <c r="V45" s="1948"/>
      <c r="W45" s="1948"/>
      <c r="X45" s="1948"/>
      <c r="Y45" s="1948"/>
      <c r="Z45" s="1948"/>
      <c r="AA45" s="1948"/>
      <c r="AB45" s="1948"/>
      <c r="AC45" s="1948"/>
      <c r="AD45" s="1948"/>
      <c r="AE45" s="1948"/>
      <c r="AF45" s="1948"/>
      <c r="AG45" s="1948" t="s">
        <v>1280</v>
      </c>
      <c r="AH45" s="1948"/>
      <c r="AI45" s="1948"/>
      <c r="AJ45" s="1948"/>
      <c r="AK45" s="1948"/>
      <c r="AL45" s="1948"/>
      <c r="AM45" s="1948"/>
      <c r="AN45" s="1948"/>
      <c r="AO45" s="1948"/>
      <c r="AP45" s="1948"/>
      <c r="AQ45" s="1948"/>
      <c r="AR45" s="1948"/>
      <c r="AS45" s="1948"/>
      <c r="AT45" s="1948"/>
      <c r="AU45" s="1948"/>
      <c r="AV45" s="1948"/>
      <c r="AW45" s="1948"/>
      <c r="AX45" s="1948"/>
      <c r="AY45" s="1961"/>
      <c r="AZ45" s="1948"/>
      <c r="BA45" s="1948"/>
      <c r="BB45" s="1948" t="s">
        <v>1262</v>
      </c>
      <c r="BC45" s="1948"/>
      <c r="BD45" s="1948"/>
      <c r="BE45" s="1948"/>
      <c r="BF45" s="1948"/>
      <c r="BG45" s="1948"/>
      <c r="BH45" s="1948"/>
      <c r="BI45" s="1948"/>
      <c r="BJ45" s="1947"/>
      <c r="BK45" s="184"/>
      <c r="BL45" s="189"/>
      <c r="BM45" s="189"/>
      <c r="BN45" s="190"/>
      <c r="BO45" s="71"/>
      <c r="BP45" s="68"/>
    </row>
    <row r="46" spans="1:69" s="133" customFormat="1" ht="17.25" customHeight="1">
      <c r="A46" s="67"/>
      <c r="B46" s="269">
        <v>28</v>
      </c>
      <c r="C46" s="1938" t="s">
        <v>1355</v>
      </c>
      <c r="D46" s="1939">
        <v>44327</v>
      </c>
      <c r="E46" s="1939">
        <v>45788</v>
      </c>
      <c r="F46" s="1940">
        <f t="shared" si="1"/>
        <v>1461</v>
      </c>
      <c r="G46" s="1938" t="s">
        <v>1353</v>
      </c>
      <c r="H46" s="1938" t="s">
        <v>1358</v>
      </c>
      <c r="I46" s="1938" t="s">
        <v>1266</v>
      </c>
      <c r="J46" s="1938" t="s">
        <v>1306</v>
      </c>
      <c r="K46" s="1941" t="s">
        <v>1359</v>
      </c>
      <c r="L46" s="1942">
        <v>367802000</v>
      </c>
      <c r="M46" s="270">
        <v>1.7500000000000002E-2</v>
      </c>
      <c r="N46" s="282" t="s">
        <v>1280</v>
      </c>
      <c r="O46" s="1948"/>
      <c r="P46" s="1948"/>
      <c r="Q46" s="1948"/>
      <c r="R46" s="1948"/>
      <c r="S46" s="1948"/>
      <c r="T46" s="1948"/>
      <c r="U46" s="1948"/>
      <c r="V46" s="1948"/>
      <c r="W46" s="1948"/>
      <c r="X46" s="1948"/>
      <c r="Y46" s="1948"/>
      <c r="Z46" s="1948"/>
      <c r="AA46" s="1948"/>
      <c r="AB46" s="1948"/>
      <c r="AC46" s="1948"/>
      <c r="AD46" s="1948"/>
      <c r="AE46" s="1948"/>
      <c r="AF46" s="1948"/>
      <c r="AG46" s="1948" t="s">
        <v>1280</v>
      </c>
      <c r="AH46" s="1948"/>
      <c r="AI46" s="1948"/>
      <c r="AJ46" s="1948"/>
      <c r="AK46" s="1948"/>
      <c r="AL46" s="1948"/>
      <c r="AM46" s="1948"/>
      <c r="AN46" s="1948"/>
      <c r="AO46" s="1948"/>
      <c r="AP46" s="1948"/>
      <c r="AQ46" s="1948"/>
      <c r="AR46" s="1948"/>
      <c r="AS46" s="1948"/>
      <c r="AT46" s="1948"/>
      <c r="AU46" s="1948"/>
      <c r="AV46" s="1948"/>
      <c r="AW46" s="1948"/>
      <c r="AX46" s="1948"/>
      <c r="AY46" s="1961"/>
      <c r="AZ46" s="1948"/>
      <c r="BA46" s="1948"/>
      <c r="BB46" s="1948" t="s">
        <v>1262</v>
      </c>
      <c r="BC46" s="1948"/>
      <c r="BD46" s="1948"/>
      <c r="BE46" s="1948"/>
      <c r="BF46" s="1948"/>
      <c r="BG46" s="1948"/>
      <c r="BH46" s="1948"/>
      <c r="BI46" s="1948"/>
      <c r="BJ46" s="1947"/>
      <c r="BK46" s="184"/>
      <c r="BL46" s="189"/>
      <c r="BM46" s="189"/>
      <c r="BN46" s="190"/>
      <c r="BO46" s="71"/>
      <c r="BP46" s="68"/>
    </row>
    <row r="47" spans="1:69" s="133" customFormat="1" ht="17.25" customHeight="1">
      <c r="A47" s="67"/>
      <c r="B47" s="269">
        <v>28</v>
      </c>
      <c r="C47" s="1938" t="s">
        <v>1355</v>
      </c>
      <c r="D47" s="1939">
        <v>44515</v>
      </c>
      <c r="E47" s="1939">
        <v>45611</v>
      </c>
      <c r="F47" s="1940">
        <f t="shared" si="1"/>
        <v>1096</v>
      </c>
      <c r="G47" s="1938" t="s">
        <v>1257</v>
      </c>
      <c r="H47" s="1938" t="s">
        <v>1360</v>
      </c>
      <c r="I47" s="1938" t="s">
        <v>1266</v>
      </c>
      <c r="J47" s="1938" t="s">
        <v>1260</v>
      </c>
      <c r="K47" s="1941" t="s">
        <v>1361</v>
      </c>
      <c r="L47" s="1942">
        <v>180884000</v>
      </c>
      <c r="M47" s="270">
        <v>2.1600000000000001E-2</v>
      </c>
      <c r="N47" s="282"/>
      <c r="O47" s="1948"/>
      <c r="P47" s="1948"/>
      <c r="Q47" s="1948"/>
      <c r="R47" s="1948"/>
      <c r="S47" s="1948"/>
      <c r="T47" s="1948"/>
      <c r="U47" s="1948"/>
      <c r="V47" s="1948"/>
      <c r="W47" s="1948"/>
      <c r="X47" s="1948"/>
      <c r="Y47" s="1948"/>
      <c r="Z47" s="1948"/>
      <c r="AA47" s="1948"/>
      <c r="AB47" s="1948"/>
      <c r="AC47" s="1948"/>
      <c r="AD47" s="1948"/>
      <c r="AE47" s="1948"/>
      <c r="AF47" s="1948"/>
      <c r="AG47" s="1948"/>
      <c r="AH47" s="1948"/>
      <c r="AI47" s="1948"/>
      <c r="AJ47" s="1948"/>
      <c r="AK47" s="1948"/>
      <c r="AL47" s="1948"/>
      <c r="AM47" s="1948"/>
      <c r="AN47" s="1948"/>
      <c r="AO47" s="1948"/>
      <c r="AP47" s="1948"/>
      <c r="AQ47" s="1948"/>
      <c r="AR47" s="1948"/>
      <c r="AS47" s="1948"/>
      <c r="AT47" s="1948"/>
      <c r="AU47" s="1948"/>
      <c r="AV47" s="1948"/>
      <c r="AW47" s="1948"/>
      <c r="AX47" s="1948"/>
      <c r="AY47" s="1961"/>
      <c r="AZ47" s="1948"/>
      <c r="BA47" s="1948"/>
      <c r="BB47" s="1948"/>
      <c r="BC47" s="1948"/>
      <c r="BD47" s="1948"/>
      <c r="BE47" s="1948"/>
      <c r="BF47" s="1948"/>
      <c r="BG47" s="1948"/>
      <c r="BH47" s="1948"/>
      <c r="BI47" s="1948"/>
      <c r="BJ47" s="1947"/>
      <c r="BK47" s="184"/>
      <c r="BL47" s="189"/>
      <c r="BM47" s="189"/>
      <c r="BN47" s="190"/>
      <c r="BO47" s="71"/>
      <c r="BP47" s="68"/>
    </row>
    <row r="48" spans="1:69" s="133" customFormat="1" ht="17.25" customHeight="1">
      <c r="A48" s="67"/>
      <c r="B48" s="269">
        <v>19</v>
      </c>
      <c r="C48" s="1938" t="s">
        <v>1327</v>
      </c>
      <c r="D48" s="1939">
        <v>44329</v>
      </c>
      <c r="E48" s="1939">
        <v>45790</v>
      </c>
      <c r="F48" s="1940">
        <f t="shared" si="1"/>
        <v>1461</v>
      </c>
      <c r="G48" s="1938" t="s">
        <v>1257</v>
      </c>
      <c r="H48" s="1938" t="s">
        <v>1362</v>
      </c>
      <c r="I48" s="1938" t="s">
        <v>1266</v>
      </c>
      <c r="J48" s="1938" t="s">
        <v>1260</v>
      </c>
      <c r="K48" s="1941" t="s">
        <v>1363</v>
      </c>
      <c r="L48" s="1942">
        <v>70845500</v>
      </c>
      <c r="M48" s="270">
        <v>3.1E-2</v>
      </c>
      <c r="N48" s="283"/>
      <c r="O48" s="1945"/>
      <c r="P48" s="1943" t="s">
        <v>1280</v>
      </c>
      <c r="Q48" s="1943"/>
      <c r="R48" s="1943"/>
      <c r="S48" s="1943"/>
      <c r="T48" s="1943"/>
      <c r="U48" s="1943"/>
      <c r="V48" s="1943"/>
      <c r="W48" s="1943"/>
      <c r="X48" s="1943"/>
      <c r="Y48" s="1943"/>
      <c r="Z48" s="1943"/>
      <c r="AA48" s="1943"/>
      <c r="AB48" s="1943"/>
      <c r="AC48" s="1943"/>
      <c r="AD48" s="1943"/>
      <c r="AE48" s="1943"/>
      <c r="AF48" s="1943"/>
      <c r="AG48" s="1943"/>
      <c r="AH48" s="1943"/>
      <c r="AI48" s="1948" t="s">
        <v>1262</v>
      </c>
      <c r="AJ48" s="1943"/>
      <c r="AK48" s="1943"/>
      <c r="AL48" s="1943"/>
      <c r="AM48" s="1943"/>
      <c r="AN48" s="1943"/>
      <c r="AO48" s="1943"/>
      <c r="AP48" s="1943"/>
      <c r="AQ48" s="1943"/>
      <c r="AR48" s="1943"/>
      <c r="AS48" s="1943"/>
      <c r="AT48" s="1943"/>
      <c r="AU48" s="1943"/>
      <c r="AV48" s="1943"/>
      <c r="AW48" s="1943"/>
      <c r="AX48" s="1943"/>
      <c r="AY48" s="1944"/>
      <c r="AZ48" s="1943"/>
      <c r="BA48" s="1943"/>
      <c r="BB48" s="1943"/>
      <c r="BC48" s="1963" t="s">
        <v>1262</v>
      </c>
      <c r="BD48" s="1943"/>
      <c r="BE48" s="1943"/>
      <c r="BF48" s="1943"/>
      <c r="BG48" s="1943"/>
      <c r="BH48" s="1943"/>
      <c r="BI48" s="1943"/>
      <c r="BJ48" s="1945"/>
      <c r="BK48" s="181"/>
      <c r="BL48" s="192"/>
      <c r="BM48" s="192"/>
      <c r="BN48" s="193"/>
      <c r="BO48" s="68"/>
      <c r="BP48" s="68"/>
    </row>
    <row r="49" spans="1:68" s="133" customFormat="1" ht="17.25" customHeight="1">
      <c r="A49" s="67"/>
      <c r="B49" s="269">
        <v>19</v>
      </c>
      <c r="C49" s="1938" t="s">
        <v>1327</v>
      </c>
      <c r="D49" s="1939">
        <v>44329</v>
      </c>
      <c r="E49" s="1939">
        <v>45790</v>
      </c>
      <c r="F49" s="1940">
        <f t="shared" si="1"/>
        <v>1461</v>
      </c>
      <c r="G49" s="1938" t="s">
        <v>396</v>
      </c>
      <c r="H49" s="1938" t="s">
        <v>1364</v>
      </c>
      <c r="I49" s="1938" t="s">
        <v>1266</v>
      </c>
      <c r="J49" s="1938" t="s">
        <v>1260</v>
      </c>
      <c r="K49" s="1941" t="s">
        <v>1365</v>
      </c>
      <c r="L49" s="1942">
        <v>73557000</v>
      </c>
      <c r="M49" s="270">
        <v>3.1E-2</v>
      </c>
      <c r="N49" s="283"/>
      <c r="O49" s="1945"/>
      <c r="P49" s="1943" t="s">
        <v>1280</v>
      </c>
      <c r="Q49" s="1943"/>
      <c r="R49" s="1943"/>
      <c r="S49" s="1943"/>
      <c r="T49" s="1943"/>
      <c r="U49" s="1943"/>
      <c r="V49" s="1943"/>
      <c r="W49" s="1943"/>
      <c r="X49" s="1943"/>
      <c r="Y49" s="1943"/>
      <c r="Z49" s="1943"/>
      <c r="AA49" s="1943"/>
      <c r="AB49" s="1943"/>
      <c r="AC49" s="1943"/>
      <c r="AD49" s="1943"/>
      <c r="AE49" s="1943"/>
      <c r="AF49" s="1943"/>
      <c r="AG49" s="1943"/>
      <c r="AH49" s="1943"/>
      <c r="AI49" s="1948" t="s">
        <v>1262</v>
      </c>
      <c r="AJ49" s="1943"/>
      <c r="AK49" s="1943"/>
      <c r="AL49" s="1943"/>
      <c r="AM49" s="1943"/>
      <c r="AN49" s="1943"/>
      <c r="AO49" s="1943"/>
      <c r="AP49" s="1943"/>
      <c r="AQ49" s="1943"/>
      <c r="AR49" s="1943"/>
      <c r="AS49" s="1943"/>
      <c r="AT49" s="1943"/>
      <c r="AU49" s="1943"/>
      <c r="AV49" s="1943"/>
      <c r="AW49" s="1943"/>
      <c r="AX49" s="1943"/>
      <c r="AY49" s="1944"/>
      <c r="AZ49" s="1943"/>
      <c r="BA49" s="1943"/>
      <c r="BB49" s="1943"/>
      <c r="BC49" s="1963" t="s">
        <v>1262</v>
      </c>
      <c r="BD49" s="1943"/>
      <c r="BE49" s="1943"/>
      <c r="BF49" s="1943"/>
      <c r="BG49" s="1943"/>
      <c r="BH49" s="1943"/>
      <c r="BI49" s="1943"/>
      <c r="BJ49" s="1945"/>
      <c r="BK49" s="181"/>
      <c r="BL49" s="192"/>
      <c r="BM49" s="192"/>
      <c r="BN49" s="193"/>
      <c r="BO49" s="68"/>
      <c r="BP49" s="68"/>
    </row>
    <row r="50" spans="1:68" s="133" customFormat="1" ht="17.25" customHeight="1">
      <c r="A50" s="67"/>
      <c r="B50" s="269">
        <v>19</v>
      </c>
      <c r="C50" s="1938" t="s">
        <v>1327</v>
      </c>
      <c r="D50" s="1939">
        <v>44329</v>
      </c>
      <c r="E50" s="1939">
        <v>45790</v>
      </c>
      <c r="F50" s="1940">
        <f t="shared" si="1"/>
        <v>1461</v>
      </c>
      <c r="G50" s="1938" t="s">
        <v>1257</v>
      </c>
      <c r="H50" s="1938" t="s">
        <v>1366</v>
      </c>
      <c r="I50" s="1938" t="s">
        <v>1266</v>
      </c>
      <c r="J50" s="1938" t="s">
        <v>1260</v>
      </c>
      <c r="K50" s="1941" t="s">
        <v>1367</v>
      </c>
      <c r="L50" s="1942">
        <v>75580000</v>
      </c>
      <c r="M50" s="270">
        <v>3.1E-2</v>
      </c>
      <c r="N50" s="283"/>
      <c r="O50" s="1945"/>
      <c r="P50" s="1943" t="s">
        <v>1280</v>
      </c>
      <c r="Q50" s="1943"/>
      <c r="R50" s="1943"/>
      <c r="S50" s="1943"/>
      <c r="T50" s="1943"/>
      <c r="U50" s="1943"/>
      <c r="V50" s="1943"/>
      <c r="W50" s="1943"/>
      <c r="X50" s="1943"/>
      <c r="Y50" s="1943"/>
      <c r="Z50" s="1943"/>
      <c r="AA50" s="1943"/>
      <c r="AB50" s="1943"/>
      <c r="AC50" s="1943"/>
      <c r="AD50" s="1943"/>
      <c r="AE50" s="1943"/>
      <c r="AF50" s="1943"/>
      <c r="AG50" s="1943"/>
      <c r="AH50" s="1943"/>
      <c r="AI50" s="1948" t="s">
        <v>1262</v>
      </c>
      <c r="AJ50" s="1943"/>
      <c r="AK50" s="1943"/>
      <c r="AL50" s="1943"/>
      <c r="AM50" s="1943"/>
      <c r="AN50" s="1943"/>
      <c r="AO50" s="1943"/>
      <c r="AP50" s="1943"/>
      <c r="AQ50" s="1943"/>
      <c r="AR50" s="1943"/>
      <c r="AS50" s="1943"/>
      <c r="AT50" s="1943"/>
      <c r="AU50" s="1943"/>
      <c r="AV50" s="1943"/>
      <c r="AW50" s="1943"/>
      <c r="AX50" s="1943"/>
      <c r="AY50" s="1944"/>
      <c r="AZ50" s="1943"/>
      <c r="BA50" s="1943"/>
      <c r="BB50" s="1943"/>
      <c r="BC50" s="1963" t="s">
        <v>1262</v>
      </c>
      <c r="BD50" s="1943"/>
      <c r="BE50" s="1943"/>
      <c r="BF50" s="1943"/>
      <c r="BG50" s="1943"/>
      <c r="BH50" s="1943"/>
      <c r="BI50" s="1943"/>
      <c r="BJ50" s="1945"/>
      <c r="BK50" s="181"/>
      <c r="BL50" s="192"/>
      <c r="BM50" s="192"/>
      <c r="BN50" s="193"/>
      <c r="BO50" s="68"/>
      <c r="BP50" s="68"/>
    </row>
    <row r="51" spans="1:68" s="133" customFormat="1" ht="17.25" customHeight="1">
      <c r="A51" s="67"/>
      <c r="B51" s="269">
        <v>7</v>
      </c>
      <c r="C51" s="1938" t="s">
        <v>1327</v>
      </c>
      <c r="D51" s="1939">
        <v>44329</v>
      </c>
      <c r="E51" s="1939">
        <v>45790</v>
      </c>
      <c r="F51" s="1940">
        <f t="shared" si="1"/>
        <v>1461</v>
      </c>
      <c r="G51" s="1938" t="s">
        <v>1257</v>
      </c>
      <c r="H51" s="1938" t="s">
        <v>1368</v>
      </c>
      <c r="I51" s="1938" t="s">
        <v>1266</v>
      </c>
      <c r="J51" s="1938" t="s">
        <v>1260</v>
      </c>
      <c r="K51" s="1941" t="s">
        <v>1369</v>
      </c>
      <c r="L51" s="1964">
        <v>45736000</v>
      </c>
      <c r="M51" s="270">
        <v>3.1E-2</v>
      </c>
      <c r="N51" s="283"/>
      <c r="O51" s="1945"/>
      <c r="P51" s="1943" t="s">
        <v>1280</v>
      </c>
      <c r="Q51" s="1943"/>
      <c r="R51" s="1943"/>
      <c r="S51" s="1943"/>
      <c r="T51" s="1943"/>
      <c r="U51" s="1943"/>
      <c r="V51" s="1943"/>
      <c r="W51" s="1943"/>
      <c r="X51" s="1943"/>
      <c r="Y51" s="1943"/>
      <c r="Z51" s="1943"/>
      <c r="AA51" s="1943"/>
      <c r="AB51" s="1943"/>
      <c r="AC51" s="1943"/>
      <c r="AD51" s="1943"/>
      <c r="AE51" s="1943"/>
      <c r="AF51" s="1943"/>
      <c r="AG51" s="1943"/>
      <c r="AH51" s="1943"/>
      <c r="AI51" s="1948" t="s">
        <v>1262</v>
      </c>
      <c r="AJ51" s="1943"/>
      <c r="AK51" s="1943"/>
      <c r="AL51" s="1943"/>
      <c r="AM51" s="1943"/>
      <c r="AN51" s="1943"/>
      <c r="AO51" s="1943"/>
      <c r="AP51" s="1943"/>
      <c r="AQ51" s="1943"/>
      <c r="AR51" s="1943"/>
      <c r="AS51" s="1943"/>
      <c r="AT51" s="1943"/>
      <c r="AU51" s="1943"/>
      <c r="AV51" s="1943"/>
      <c r="AW51" s="1943"/>
      <c r="AX51" s="1943"/>
      <c r="AY51" s="1944"/>
      <c r="AZ51" s="1943"/>
      <c r="BA51" s="1943"/>
      <c r="BB51" s="1943"/>
      <c r="BC51" s="1963" t="s">
        <v>1262</v>
      </c>
      <c r="BD51" s="1943"/>
      <c r="BE51" s="1943"/>
      <c r="BF51" s="1943"/>
      <c r="BG51" s="1943"/>
      <c r="BH51" s="1943"/>
      <c r="BI51" s="1943"/>
      <c r="BJ51" s="1945"/>
      <c r="BK51" s="181"/>
      <c r="BL51" s="192"/>
      <c r="BM51" s="192"/>
      <c r="BN51" s="193"/>
      <c r="BO51" s="68"/>
      <c r="BP51" s="68"/>
    </row>
    <row r="52" spans="1:68" s="133" customFormat="1" ht="17.25" customHeight="1">
      <c r="A52" s="67"/>
      <c r="B52" s="269" t="s">
        <v>1370</v>
      </c>
      <c r="C52" s="1938" t="s">
        <v>1371</v>
      </c>
      <c r="D52" s="1939">
        <v>44329</v>
      </c>
      <c r="E52" s="1939">
        <v>45790</v>
      </c>
      <c r="F52" s="1940">
        <f t="shared" si="1"/>
        <v>1461</v>
      </c>
      <c r="G52" s="1938" t="s">
        <v>396</v>
      </c>
      <c r="H52" s="1938" t="s">
        <v>1372</v>
      </c>
      <c r="I52" s="1938" t="s">
        <v>1266</v>
      </c>
      <c r="J52" s="1938" t="s">
        <v>1306</v>
      </c>
      <c r="K52" s="1941" t="s">
        <v>1373</v>
      </c>
      <c r="L52" s="1942">
        <v>1934727000</v>
      </c>
      <c r="M52" s="270">
        <v>3.1E-2</v>
      </c>
      <c r="N52" s="283"/>
      <c r="O52" s="1945"/>
      <c r="P52" s="1943" t="s">
        <v>1280</v>
      </c>
      <c r="Q52" s="1943"/>
      <c r="R52" s="1943"/>
      <c r="S52" s="1943"/>
      <c r="T52" s="1943"/>
      <c r="U52" s="1943"/>
      <c r="V52" s="1943"/>
      <c r="W52" s="1943"/>
      <c r="X52" s="1943"/>
      <c r="Y52" s="1943"/>
      <c r="Z52" s="1943"/>
      <c r="AA52" s="1943"/>
      <c r="AB52" s="1943"/>
      <c r="AC52" s="1943"/>
      <c r="AD52" s="1943"/>
      <c r="AE52" s="1943"/>
      <c r="AF52" s="1943"/>
      <c r="AG52" s="1943"/>
      <c r="AH52" s="1943"/>
      <c r="AI52" s="1943" t="s">
        <v>1280</v>
      </c>
      <c r="AJ52" s="1943"/>
      <c r="AK52" s="1943"/>
      <c r="AL52" s="1943"/>
      <c r="AM52" s="1943"/>
      <c r="AN52" s="1943"/>
      <c r="AO52" s="1943"/>
      <c r="AP52" s="1943"/>
      <c r="AQ52" s="1943"/>
      <c r="AR52" s="1943"/>
      <c r="AS52" s="1943"/>
      <c r="AT52" s="1943"/>
      <c r="AU52" s="1943"/>
      <c r="AV52" s="1943"/>
      <c r="AW52" s="1943"/>
      <c r="AX52" s="1943"/>
      <c r="AY52" s="1944"/>
      <c r="AZ52" s="1943"/>
      <c r="BA52" s="1943"/>
      <c r="BB52" s="1943"/>
      <c r="BC52" s="1943" t="s">
        <v>1280</v>
      </c>
      <c r="BD52" s="1943"/>
      <c r="BE52" s="1943"/>
      <c r="BF52" s="1943"/>
      <c r="BG52" s="1943"/>
      <c r="BH52" s="1943"/>
      <c r="BI52" s="1943"/>
      <c r="BJ52" s="1945"/>
      <c r="BK52" s="181"/>
      <c r="BL52" s="192"/>
      <c r="BM52" s="192"/>
      <c r="BN52" s="193"/>
      <c r="BO52" s="68"/>
      <c r="BP52" s="68"/>
    </row>
    <row r="53" spans="1:68" s="133" customFormat="1" ht="17.25" customHeight="1">
      <c r="A53" s="67"/>
      <c r="B53" s="269">
        <v>25</v>
      </c>
      <c r="C53" s="1938" t="s">
        <v>1371</v>
      </c>
      <c r="D53" s="1939">
        <v>44329</v>
      </c>
      <c r="E53" s="1939">
        <v>45790</v>
      </c>
      <c r="F53" s="1940">
        <f t="shared" si="1"/>
        <v>1461</v>
      </c>
      <c r="G53" s="1938" t="s">
        <v>1257</v>
      </c>
      <c r="H53" s="1938" t="s">
        <v>1374</v>
      </c>
      <c r="I53" s="1938" t="s">
        <v>1266</v>
      </c>
      <c r="J53" s="1938" t="s">
        <v>1306</v>
      </c>
      <c r="K53" s="1941" t="s">
        <v>1375</v>
      </c>
      <c r="L53" s="1942">
        <v>183521000</v>
      </c>
      <c r="M53" s="270">
        <v>3.1E-2</v>
      </c>
      <c r="N53" s="283"/>
      <c r="O53" s="1945"/>
      <c r="P53" s="1943" t="s">
        <v>1280</v>
      </c>
      <c r="Q53" s="1943"/>
      <c r="R53" s="1943"/>
      <c r="S53" s="1943"/>
      <c r="T53" s="1943"/>
      <c r="U53" s="1943"/>
      <c r="V53" s="1943"/>
      <c r="W53" s="1943"/>
      <c r="X53" s="1943"/>
      <c r="Y53" s="1943"/>
      <c r="Z53" s="1943"/>
      <c r="AA53" s="1943"/>
      <c r="AB53" s="1943"/>
      <c r="AC53" s="1943"/>
      <c r="AD53" s="1943"/>
      <c r="AE53" s="1943"/>
      <c r="AF53" s="1943"/>
      <c r="AG53" s="1943"/>
      <c r="AH53" s="1943"/>
      <c r="AI53" s="1943" t="s">
        <v>1280</v>
      </c>
      <c r="AJ53" s="1943"/>
      <c r="AK53" s="1943"/>
      <c r="AL53" s="1943"/>
      <c r="AM53" s="1943"/>
      <c r="AN53" s="1943"/>
      <c r="AO53" s="1943"/>
      <c r="AP53" s="1943"/>
      <c r="AQ53" s="1943"/>
      <c r="AR53" s="1943"/>
      <c r="AS53" s="1943"/>
      <c r="AT53" s="1943"/>
      <c r="AU53" s="1943"/>
      <c r="AV53" s="1943"/>
      <c r="AW53" s="1943"/>
      <c r="AX53" s="1943"/>
      <c r="AY53" s="1944"/>
      <c r="AZ53" s="1943"/>
      <c r="BA53" s="1943"/>
      <c r="BB53" s="1943"/>
      <c r="BC53" s="1943" t="s">
        <v>1280</v>
      </c>
      <c r="BD53" s="1943"/>
      <c r="BE53" s="1943"/>
      <c r="BF53" s="1943"/>
      <c r="BG53" s="1943"/>
      <c r="BH53" s="1943"/>
      <c r="BI53" s="1943"/>
      <c r="BJ53" s="1945"/>
      <c r="BK53" s="181"/>
      <c r="BL53" s="192"/>
      <c r="BM53" s="192"/>
      <c r="BN53" s="193"/>
      <c r="BO53" s="68"/>
      <c r="BP53" s="68"/>
    </row>
    <row r="54" spans="1:68" s="133" customFormat="1" ht="17.25" customHeight="1">
      <c r="A54" s="67"/>
      <c r="B54" s="269">
        <v>9</v>
      </c>
      <c r="C54" s="1938" t="s">
        <v>402</v>
      </c>
      <c r="D54" s="1939">
        <v>44330</v>
      </c>
      <c r="E54" s="1939">
        <v>45791</v>
      </c>
      <c r="F54" s="1940">
        <f t="shared" si="1"/>
        <v>1461</v>
      </c>
      <c r="G54" s="1938" t="s">
        <v>1257</v>
      </c>
      <c r="H54" s="1938" t="s">
        <v>1376</v>
      </c>
      <c r="I54" s="1938" t="s">
        <v>1266</v>
      </c>
      <c r="J54" s="1938" t="s">
        <v>1260</v>
      </c>
      <c r="K54" s="1941" t="s">
        <v>403</v>
      </c>
      <c r="L54" s="1942">
        <v>32885000</v>
      </c>
      <c r="M54" s="270">
        <v>3.09E-2</v>
      </c>
      <c r="N54" s="283"/>
      <c r="O54" s="1945"/>
      <c r="P54" s="1943" t="s">
        <v>1280</v>
      </c>
      <c r="Q54" s="1943"/>
      <c r="R54" s="1943"/>
      <c r="S54" s="1943"/>
      <c r="T54" s="1943"/>
      <c r="U54" s="1943"/>
      <c r="V54" s="1943"/>
      <c r="W54" s="1943"/>
      <c r="X54" s="1943"/>
      <c r="Y54" s="1943"/>
      <c r="Z54" s="1943"/>
      <c r="AA54" s="1943"/>
      <c r="AB54" s="1943"/>
      <c r="AC54" s="1943"/>
      <c r="AD54" s="1943"/>
      <c r="AE54" s="1943"/>
      <c r="AF54" s="1943"/>
      <c r="AG54" s="1943"/>
      <c r="AH54" s="1943"/>
      <c r="AI54" s="1948" t="s">
        <v>494</v>
      </c>
      <c r="AJ54" s="1943"/>
      <c r="AK54" s="1943"/>
      <c r="AL54" s="1943"/>
      <c r="AM54" s="1943"/>
      <c r="AN54" s="1943"/>
      <c r="AO54" s="1943"/>
      <c r="AP54" s="1943"/>
      <c r="AQ54" s="1943"/>
      <c r="AR54" s="1943"/>
      <c r="AS54" s="1943"/>
      <c r="AT54" s="1943"/>
      <c r="AU54" s="1943"/>
      <c r="AV54" s="1943"/>
      <c r="AW54" s="1943"/>
      <c r="AX54" s="1943"/>
      <c r="AY54" s="1944"/>
      <c r="AZ54" s="1943"/>
      <c r="BA54" s="1943"/>
      <c r="BB54" s="1943"/>
      <c r="BC54" s="1943"/>
      <c r="BD54" s="1963" t="s">
        <v>1262</v>
      </c>
      <c r="BE54" s="1963"/>
      <c r="BF54" s="1963"/>
      <c r="BG54" s="1943"/>
      <c r="BH54" s="1943"/>
      <c r="BI54" s="1943"/>
      <c r="BJ54" s="1945"/>
      <c r="BK54" s="181"/>
      <c r="BL54" s="192"/>
      <c r="BM54" s="192"/>
      <c r="BN54" s="193"/>
      <c r="BO54" s="68"/>
      <c r="BP54" s="68"/>
    </row>
    <row r="55" spans="1:68" s="133" customFormat="1" ht="17.25" customHeight="1">
      <c r="A55" s="67"/>
      <c r="B55" s="269">
        <v>19</v>
      </c>
      <c r="C55" s="1938" t="s">
        <v>1377</v>
      </c>
      <c r="D55" s="1939">
        <v>44332</v>
      </c>
      <c r="E55" s="1939">
        <v>45793</v>
      </c>
      <c r="F55" s="1940">
        <f t="shared" si="1"/>
        <v>1461</v>
      </c>
      <c r="G55" s="1938" t="s">
        <v>396</v>
      </c>
      <c r="H55" s="1938" t="s">
        <v>404</v>
      </c>
      <c r="I55" s="1938" t="s">
        <v>1266</v>
      </c>
      <c r="J55" s="1938" t="s">
        <v>1260</v>
      </c>
      <c r="K55" s="1941" t="s">
        <v>1378</v>
      </c>
      <c r="L55" s="1942">
        <v>26265000</v>
      </c>
      <c r="M55" s="270">
        <v>3.09E-2</v>
      </c>
      <c r="N55" s="283"/>
      <c r="O55" s="1945"/>
      <c r="P55" s="1945"/>
      <c r="Q55" s="1945"/>
      <c r="R55" s="1965" t="s">
        <v>1262</v>
      </c>
      <c r="S55" s="1965"/>
      <c r="T55" s="1965"/>
      <c r="U55" s="1966"/>
      <c r="V55" s="1966"/>
      <c r="W55" s="1966"/>
      <c r="X55" s="1966"/>
      <c r="Y55" s="1966"/>
      <c r="Z55" s="1943"/>
      <c r="AA55" s="1943"/>
      <c r="AB55" s="1943"/>
      <c r="AC55" s="1943"/>
      <c r="AD55" s="1943"/>
      <c r="AE55" s="1943"/>
      <c r="AF55" s="1943"/>
      <c r="AG55" s="1943"/>
      <c r="AH55" s="1943"/>
      <c r="AI55" s="1943"/>
      <c r="AJ55" s="1948" t="s">
        <v>1262</v>
      </c>
      <c r="AK55" s="1948"/>
      <c r="AL55" s="1948"/>
      <c r="AM55" s="1948"/>
      <c r="AN55" s="1948"/>
      <c r="AO55" s="1948"/>
      <c r="AP55" s="1948"/>
      <c r="AQ55" s="1948"/>
      <c r="AR55" s="1948"/>
      <c r="AS55" s="1948"/>
      <c r="AT55" s="1943"/>
      <c r="AU55" s="1943"/>
      <c r="AV55" s="1943"/>
      <c r="AW55" s="1943"/>
      <c r="AX55" s="1943"/>
      <c r="AY55" s="1944"/>
      <c r="AZ55" s="1943"/>
      <c r="BA55" s="1943"/>
      <c r="BB55" s="1943"/>
      <c r="BC55" s="1943"/>
      <c r="BD55" s="1963"/>
      <c r="BE55" s="1963" t="s">
        <v>1262</v>
      </c>
      <c r="BF55" s="1963"/>
      <c r="BG55" s="1943"/>
      <c r="BH55" s="1943"/>
      <c r="BI55" s="1943"/>
      <c r="BJ55" s="1945"/>
      <c r="BK55" s="181"/>
      <c r="BL55" s="192"/>
      <c r="BM55" s="192"/>
      <c r="BN55" s="193"/>
      <c r="BO55" s="68"/>
      <c r="BP55" s="68"/>
    </row>
    <row r="56" spans="1:68" s="133" customFormat="1" ht="17.25" customHeight="1">
      <c r="A56" s="67"/>
      <c r="B56" s="269">
        <v>21</v>
      </c>
      <c r="C56" s="1938" t="s">
        <v>1379</v>
      </c>
      <c r="D56" s="1939">
        <v>45078</v>
      </c>
      <c r="E56" s="1939">
        <v>46174</v>
      </c>
      <c r="F56" s="1940">
        <f t="shared" si="1"/>
        <v>1096</v>
      </c>
      <c r="G56" s="1938" t="s">
        <v>1257</v>
      </c>
      <c r="H56" s="1938" t="s">
        <v>1380</v>
      </c>
      <c r="I56" s="1938" t="s">
        <v>1266</v>
      </c>
      <c r="J56" s="208" t="s">
        <v>1260</v>
      </c>
      <c r="K56" s="1941" t="s">
        <v>1381</v>
      </c>
      <c r="L56" s="1942">
        <v>70237000</v>
      </c>
      <c r="M56" s="270">
        <v>3.7600000000000001E-2</v>
      </c>
      <c r="N56" s="283"/>
      <c r="O56" s="1945"/>
      <c r="P56" s="1945"/>
      <c r="Q56" s="1945"/>
      <c r="R56" s="1945"/>
      <c r="S56" s="1945"/>
      <c r="T56" s="1945"/>
      <c r="U56" s="1943"/>
      <c r="V56" s="1943"/>
      <c r="W56" s="1943"/>
      <c r="X56" s="1943"/>
      <c r="Y56" s="1943"/>
      <c r="Z56" s="1943"/>
      <c r="AA56" s="1943"/>
      <c r="AB56" s="1943"/>
      <c r="AC56" s="1943"/>
      <c r="AD56" s="1943"/>
      <c r="AE56" s="1943"/>
      <c r="AF56" s="1943"/>
      <c r="AG56" s="1943"/>
      <c r="AH56" s="1943"/>
      <c r="AI56" s="1943"/>
      <c r="AJ56" s="1943" t="s">
        <v>1280</v>
      </c>
      <c r="AK56" s="1943"/>
      <c r="AL56" s="1943"/>
      <c r="AM56" s="1943"/>
      <c r="AN56" s="1943"/>
      <c r="AO56" s="1943"/>
      <c r="AP56" s="1943"/>
      <c r="AQ56" s="1943"/>
      <c r="AR56" s="1943"/>
      <c r="AS56" s="1943"/>
      <c r="AT56" s="1943"/>
      <c r="AU56" s="1943"/>
      <c r="AV56" s="1943"/>
      <c r="AW56" s="1943"/>
      <c r="AX56" s="1943"/>
      <c r="AY56" s="1944"/>
      <c r="AZ56" s="1943"/>
      <c r="BA56" s="1943"/>
      <c r="BB56" s="1943"/>
      <c r="BC56" s="1943"/>
      <c r="BD56" s="1963"/>
      <c r="BE56" s="1963"/>
      <c r="BF56" s="1963"/>
      <c r="BG56" s="1943"/>
      <c r="BH56" s="1943"/>
      <c r="BI56" s="1943"/>
      <c r="BJ56" s="1945"/>
      <c r="BK56" s="181"/>
      <c r="BL56" s="192"/>
      <c r="BM56" s="192"/>
      <c r="BN56" s="193"/>
      <c r="BO56" s="68"/>
      <c r="BP56" s="68"/>
    </row>
    <row r="57" spans="1:68" s="133" customFormat="1" ht="17.25" customHeight="1">
      <c r="A57" s="67"/>
      <c r="B57" s="269">
        <v>21</v>
      </c>
      <c r="C57" s="1938" t="s">
        <v>1382</v>
      </c>
      <c r="D57" s="1939">
        <v>45078</v>
      </c>
      <c r="E57" s="1939">
        <v>46174</v>
      </c>
      <c r="F57" s="1940">
        <f t="shared" si="1"/>
        <v>1096</v>
      </c>
      <c r="G57" s="1938" t="s">
        <v>1257</v>
      </c>
      <c r="H57" s="1938" t="s">
        <v>1383</v>
      </c>
      <c r="I57" s="1938" t="s">
        <v>1266</v>
      </c>
      <c r="J57" s="208" t="s">
        <v>1260</v>
      </c>
      <c r="K57" s="1941" t="s">
        <v>1381</v>
      </c>
      <c r="L57" s="1942">
        <v>275434000</v>
      </c>
      <c r="M57" s="270">
        <v>3.7600000000000001E-2</v>
      </c>
      <c r="N57" s="283"/>
      <c r="O57" s="1945"/>
      <c r="P57" s="1945"/>
      <c r="Q57" s="1945"/>
      <c r="R57" s="1945"/>
      <c r="S57" s="1945"/>
      <c r="T57" s="1945"/>
      <c r="U57" s="1943"/>
      <c r="V57" s="1943"/>
      <c r="W57" s="1943"/>
      <c r="X57" s="1943"/>
      <c r="Y57" s="1943"/>
      <c r="Z57" s="1943"/>
      <c r="AA57" s="1943"/>
      <c r="AB57" s="1943"/>
      <c r="AC57" s="1943"/>
      <c r="AD57" s="1943"/>
      <c r="AE57" s="1943"/>
      <c r="AF57" s="1943"/>
      <c r="AG57" s="1943"/>
      <c r="AH57" s="1943"/>
      <c r="AI57" s="1943"/>
      <c r="AJ57" s="1943"/>
      <c r="AK57" s="1943"/>
      <c r="AL57" s="1943"/>
      <c r="AM57" s="1943"/>
      <c r="AN57" s="1943"/>
      <c r="AO57" s="1943"/>
      <c r="AP57" s="1943"/>
      <c r="AQ57" s="1943"/>
      <c r="AR57" s="1943"/>
      <c r="AS57" s="1943"/>
      <c r="AT57" s="1943"/>
      <c r="AU57" s="1943"/>
      <c r="AV57" s="1943"/>
      <c r="AW57" s="1943"/>
      <c r="AX57" s="1943"/>
      <c r="AY57" s="1944"/>
      <c r="AZ57" s="1943"/>
      <c r="BA57" s="1943"/>
      <c r="BB57" s="1943"/>
      <c r="BC57" s="1943"/>
      <c r="BD57" s="1963"/>
      <c r="BE57" s="1963"/>
      <c r="BF57" s="1963"/>
      <c r="BG57" s="1943"/>
      <c r="BH57" s="1943"/>
      <c r="BI57" s="1943"/>
      <c r="BJ57" s="1945"/>
      <c r="BK57" s="181"/>
      <c r="BL57" s="192"/>
      <c r="BM57" s="192"/>
      <c r="BN57" s="193"/>
      <c r="BO57" s="68"/>
      <c r="BP57" s="68"/>
    </row>
    <row r="58" spans="1:68" s="77" customFormat="1" ht="17.25" customHeight="1">
      <c r="A58" s="67"/>
      <c r="B58" s="269">
        <v>3</v>
      </c>
      <c r="C58" s="1938" t="s">
        <v>1384</v>
      </c>
      <c r="D58" s="1939">
        <v>44736</v>
      </c>
      <c r="E58" s="1939">
        <v>45832</v>
      </c>
      <c r="F58" s="1940">
        <f t="shared" si="1"/>
        <v>1096</v>
      </c>
      <c r="G58" s="208" t="s">
        <v>1257</v>
      </c>
      <c r="H58" s="1938" t="s">
        <v>1385</v>
      </c>
      <c r="I58" s="1938" t="s">
        <v>1266</v>
      </c>
      <c r="J58" s="208" t="s">
        <v>1260</v>
      </c>
      <c r="K58" s="1957" t="s">
        <v>1386</v>
      </c>
      <c r="L58" s="1958">
        <v>100936000</v>
      </c>
      <c r="M58" s="270">
        <v>3.56E-2</v>
      </c>
      <c r="N58" s="283"/>
      <c r="O58" s="1945"/>
      <c r="P58" s="1945"/>
      <c r="Q58" s="1945"/>
      <c r="R58" s="1945"/>
      <c r="S58" s="1945"/>
      <c r="T58" s="1945"/>
      <c r="U58" s="1943"/>
      <c r="V58" s="1943"/>
      <c r="W58" s="1943"/>
      <c r="X58" s="1943"/>
      <c r="Y58" s="1943"/>
      <c r="Z58" s="1943"/>
      <c r="AA58" s="1966"/>
      <c r="AB58" s="1943"/>
      <c r="AC58" s="1966"/>
      <c r="AD58" s="1966"/>
      <c r="AE58" s="1943"/>
      <c r="AF58" s="1966"/>
      <c r="AG58" s="1943"/>
      <c r="AH58" s="1943"/>
      <c r="AI58" s="1943"/>
      <c r="AJ58" s="1943"/>
      <c r="AK58" s="1948" t="s">
        <v>1262</v>
      </c>
      <c r="AL58" s="1966"/>
      <c r="AM58" s="1966"/>
      <c r="AN58" s="1966"/>
      <c r="AO58" s="1966"/>
      <c r="AP58" s="1966"/>
      <c r="AQ58" s="1966"/>
      <c r="AR58" s="1966"/>
      <c r="AS58" s="1966"/>
      <c r="AT58" s="1943"/>
      <c r="AU58" s="1943"/>
      <c r="AV58" s="1943"/>
      <c r="AW58" s="1966"/>
      <c r="AX58" s="1943"/>
      <c r="AY58" s="1943"/>
      <c r="AZ58" s="1967"/>
      <c r="BA58" s="1967"/>
      <c r="BB58" s="1967"/>
      <c r="BC58" s="1967"/>
      <c r="BD58" s="1967"/>
      <c r="BE58" s="1967"/>
      <c r="BF58" s="1963" t="s">
        <v>1262</v>
      </c>
      <c r="BG58" s="1967"/>
      <c r="BH58" s="1967"/>
      <c r="BI58" s="1967"/>
      <c r="BJ58" s="1967"/>
      <c r="BK58" s="181"/>
      <c r="BL58" s="192"/>
      <c r="BM58" s="192"/>
      <c r="BN58" s="193"/>
      <c r="BO58" s="68"/>
      <c r="BP58" s="68"/>
    </row>
    <row r="59" spans="1:68" s="133" customFormat="1" ht="17.25" customHeight="1">
      <c r="A59" s="67"/>
      <c r="B59" s="269">
        <v>3</v>
      </c>
      <c r="C59" s="1938" t="s">
        <v>1384</v>
      </c>
      <c r="D59" s="1939">
        <v>44746</v>
      </c>
      <c r="E59" s="1939">
        <v>45842</v>
      </c>
      <c r="F59" s="1940">
        <f t="shared" si="1"/>
        <v>1096</v>
      </c>
      <c r="G59" s="1938" t="s">
        <v>1257</v>
      </c>
      <c r="H59" s="1938" t="s">
        <v>1387</v>
      </c>
      <c r="I59" s="1938" t="s">
        <v>1266</v>
      </c>
      <c r="J59" s="1938" t="s">
        <v>1260</v>
      </c>
      <c r="K59" s="1941" t="s">
        <v>1388</v>
      </c>
      <c r="L59" s="1942">
        <v>260986000</v>
      </c>
      <c r="M59" s="270">
        <v>3.5200000000000002E-2</v>
      </c>
      <c r="N59" s="283"/>
      <c r="O59" s="1945"/>
      <c r="P59" s="1943"/>
      <c r="Q59" s="1943"/>
      <c r="R59" s="1943"/>
      <c r="S59" s="1965" t="s">
        <v>1262</v>
      </c>
      <c r="T59" s="1965"/>
      <c r="U59" s="1966"/>
      <c r="V59" s="1966"/>
      <c r="W59" s="1966"/>
      <c r="X59" s="1966"/>
      <c r="Y59" s="1966"/>
      <c r="Z59" s="1943"/>
      <c r="AA59" s="1943"/>
      <c r="AB59" s="1943"/>
      <c r="AC59" s="1943"/>
      <c r="AD59" s="1943"/>
      <c r="AE59" s="1943"/>
      <c r="AF59" s="1943"/>
      <c r="AG59" s="1943"/>
      <c r="AH59" s="1943"/>
      <c r="AI59" s="1943"/>
      <c r="AJ59" s="1943"/>
      <c r="AK59" s="1943"/>
      <c r="AL59" s="1948" t="s">
        <v>1262</v>
      </c>
      <c r="AM59" s="1948"/>
      <c r="AN59" s="1948"/>
      <c r="AO59" s="1948"/>
      <c r="AP59" s="1948"/>
      <c r="AQ59" s="1948"/>
      <c r="AR59" s="1948"/>
      <c r="AS59" s="1948"/>
      <c r="AT59" s="1943"/>
      <c r="AU59" s="1943"/>
      <c r="AV59" s="1943"/>
      <c r="AW59" s="1943"/>
      <c r="AX59" s="1943"/>
      <c r="AY59" s="1944"/>
      <c r="AZ59" s="1943"/>
      <c r="BA59" s="1943"/>
      <c r="BB59" s="1943"/>
      <c r="BC59" s="1943"/>
      <c r="BD59" s="1943"/>
      <c r="BE59" s="1943"/>
      <c r="BF59" s="1943"/>
      <c r="BG59" s="1963" t="s">
        <v>1262</v>
      </c>
      <c r="BH59" s="1943"/>
      <c r="BI59" s="1943"/>
      <c r="BJ59" s="1945"/>
      <c r="BK59" s="181"/>
      <c r="BL59" s="192"/>
      <c r="BM59" s="192"/>
      <c r="BN59" s="193"/>
      <c r="BO59" s="68"/>
      <c r="BP59" s="68"/>
    </row>
    <row r="60" spans="1:68" s="133" customFormat="1" ht="17.25" customHeight="1">
      <c r="A60" s="67"/>
      <c r="B60" s="269">
        <v>25</v>
      </c>
      <c r="C60" s="1938" t="s">
        <v>1389</v>
      </c>
      <c r="D60" s="1939">
        <v>44750</v>
      </c>
      <c r="E60" s="1939">
        <v>45846</v>
      </c>
      <c r="F60" s="1940">
        <f t="shared" si="1"/>
        <v>1096</v>
      </c>
      <c r="G60" s="1938" t="s">
        <v>1257</v>
      </c>
      <c r="H60" s="1938" t="s">
        <v>1390</v>
      </c>
      <c r="I60" s="1938" t="s">
        <v>1266</v>
      </c>
      <c r="J60" s="1938" t="s">
        <v>1260</v>
      </c>
      <c r="K60" s="1941" t="s">
        <v>1391</v>
      </c>
      <c r="L60" s="1942">
        <v>53580700</v>
      </c>
      <c r="M60" s="270">
        <v>3.32E-2</v>
      </c>
      <c r="N60" s="271"/>
      <c r="O60" s="1943"/>
      <c r="P60" s="1943"/>
      <c r="Q60" s="1943"/>
      <c r="R60" s="1943"/>
      <c r="S60" s="1943"/>
      <c r="T60" s="1943"/>
      <c r="U60" s="1943"/>
      <c r="V60" s="1943"/>
      <c r="W60" s="1943"/>
      <c r="X60" s="1943"/>
      <c r="Y60" s="1943"/>
      <c r="Z60" s="1943"/>
      <c r="AA60" s="1943"/>
      <c r="AB60" s="1943"/>
      <c r="AC60" s="1943"/>
      <c r="AD60" s="1943"/>
      <c r="AE60" s="1943"/>
      <c r="AF60" s="1943"/>
      <c r="AG60" s="1943"/>
      <c r="AH60" s="1943"/>
      <c r="AI60" s="1943"/>
      <c r="AJ60" s="1943"/>
      <c r="AK60" s="1943"/>
      <c r="AL60" s="1943"/>
      <c r="AM60" s="1943"/>
      <c r="AN60" s="1943"/>
      <c r="AO60" s="1943"/>
      <c r="AP60" s="1943"/>
      <c r="AQ60" s="1943"/>
      <c r="AR60" s="1943"/>
      <c r="AS60" s="1943"/>
      <c r="AT60" s="1943"/>
      <c r="AU60" s="1943"/>
      <c r="AV60" s="1943"/>
      <c r="AW60" s="1943"/>
      <c r="AX60" s="1943"/>
      <c r="AY60" s="1944"/>
      <c r="AZ60" s="1943"/>
      <c r="BA60" s="1943"/>
      <c r="BB60" s="1943"/>
      <c r="BC60" s="1943"/>
      <c r="BD60" s="1943"/>
      <c r="BE60" s="1943"/>
      <c r="BF60" s="1943"/>
      <c r="BG60" s="1943"/>
      <c r="BH60" s="1943" t="s">
        <v>1280</v>
      </c>
      <c r="BI60" s="1943"/>
      <c r="BJ60" s="1945"/>
      <c r="BK60" s="181"/>
      <c r="BL60" s="192"/>
      <c r="BM60" s="192"/>
      <c r="BN60" s="193"/>
      <c r="BO60" s="68"/>
      <c r="BP60" s="68"/>
    </row>
    <row r="61" spans="1:68" s="133" customFormat="1" ht="17.25" customHeight="1">
      <c r="A61" s="67"/>
      <c r="B61" s="269">
        <v>23</v>
      </c>
      <c r="C61" s="1938" t="s">
        <v>1392</v>
      </c>
      <c r="D61" s="1939">
        <v>44408</v>
      </c>
      <c r="E61" s="1939">
        <v>45869</v>
      </c>
      <c r="F61" s="1940">
        <f t="shared" si="1"/>
        <v>1461</v>
      </c>
      <c r="G61" s="1938" t="s">
        <v>396</v>
      </c>
      <c r="H61" s="1938" t="s">
        <v>1393</v>
      </c>
      <c r="I61" s="1938" t="s">
        <v>1266</v>
      </c>
      <c r="J61" s="1938" t="s">
        <v>1260</v>
      </c>
      <c r="K61" s="1941" t="s">
        <v>1394</v>
      </c>
      <c r="L61" s="1942">
        <v>164230000</v>
      </c>
      <c r="M61" s="270">
        <v>3.2800000000000003E-2</v>
      </c>
      <c r="N61" s="283"/>
      <c r="O61" s="1945"/>
      <c r="P61" s="1965"/>
      <c r="Q61" s="1965"/>
      <c r="R61" s="1965"/>
      <c r="S61" s="1965"/>
      <c r="T61" s="1965"/>
      <c r="U61" s="1966"/>
      <c r="V61" s="1966"/>
      <c r="W61" s="1966"/>
      <c r="X61" s="1966"/>
      <c r="Y61" s="1966"/>
      <c r="Z61" s="1943"/>
      <c r="AA61" s="1943"/>
      <c r="AB61" s="1943"/>
      <c r="AC61" s="1943"/>
      <c r="AD61" s="1943"/>
      <c r="AE61" s="1943"/>
      <c r="AF61" s="1943"/>
      <c r="AG61" s="1943"/>
      <c r="AH61" s="1943"/>
      <c r="AI61" s="1948"/>
      <c r="AJ61" s="1943"/>
      <c r="AK61" s="1943"/>
      <c r="AL61" s="1943"/>
      <c r="AM61" s="1943"/>
      <c r="AN61" s="1943"/>
      <c r="AO61" s="1943"/>
      <c r="AP61" s="1943"/>
      <c r="AQ61" s="1943"/>
      <c r="AR61" s="1943"/>
      <c r="AS61" s="1943"/>
      <c r="AT61" s="1943"/>
      <c r="AU61" s="1943"/>
      <c r="AV61" s="1943"/>
      <c r="AW61" s="1943"/>
      <c r="AX61" s="1943"/>
      <c r="AY61" s="1944"/>
      <c r="AZ61" s="1943"/>
      <c r="BA61" s="1943"/>
      <c r="BB61" s="1943"/>
      <c r="BC61" s="1943"/>
      <c r="BD61" s="1943"/>
      <c r="BE61" s="1943"/>
      <c r="BF61" s="1943"/>
      <c r="BG61" s="1943"/>
      <c r="BH61" s="1943"/>
      <c r="BI61" s="1963" t="s">
        <v>1262</v>
      </c>
      <c r="BJ61" s="1945"/>
      <c r="BK61" s="181"/>
      <c r="BL61" s="192"/>
      <c r="BM61" s="192"/>
      <c r="BN61" s="193"/>
      <c r="BO61" s="68"/>
      <c r="BP61" s="68"/>
    </row>
    <row r="62" spans="1:68" s="133" customFormat="1" ht="17.25" customHeight="1">
      <c r="A62" s="67"/>
      <c r="B62" s="269">
        <v>24</v>
      </c>
      <c r="C62" s="1938" t="s">
        <v>1275</v>
      </c>
      <c r="D62" s="1939">
        <v>44792</v>
      </c>
      <c r="E62" s="1939">
        <v>45888</v>
      </c>
      <c r="F62" s="1940">
        <f t="shared" si="1"/>
        <v>1096</v>
      </c>
      <c r="G62" s="208" t="s">
        <v>1257</v>
      </c>
      <c r="H62" s="1938" t="s">
        <v>1395</v>
      </c>
      <c r="I62" s="1938" t="s">
        <v>1266</v>
      </c>
      <c r="J62" s="1938" t="s">
        <v>1260</v>
      </c>
      <c r="K62" s="1941" t="s">
        <v>1396</v>
      </c>
      <c r="L62" s="1942">
        <v>111391500</v>
      </c>
      <c r="M62" s="270">
        <v>3.3099999999999997E-2</v>
      </c>
      <c r="P62" s="134"/>
      <c r="Q62" s="134"/>
      <c r="R62" s="134"/>
      <c r="S62" s="134"/>
      <c r="T62" s="134"/>
      <c r="U62" s="135"/>
      <c r="V62" s="135"/>
      <c r="W62" s="135"/>
      <c r="X62" s="135"/>
      <c r="Y62" s="135"/>
      <c r="Z62" s="136"/>
      <c r="AA62" s="136"/>
      <c r="AB62" s="136"/>
      <c r="AC62" s="136"/>
      <c r="AD62" s="136"/>
      <c r="AE62" s="136"/>
      <c r="AF62" s="136"/>
      <c r="AG62" s="136"/>
      <c r="AH62" s="136"/>
      <c r="AI62" s="137"/>
      <c r="AJ62" s="136"/>
      <c r="AK62" s="136"/>
      <c r="AL62" s="136"/>
      <c r="AM62" s="136"/>
      <c r="AN62" s="136"/>
      <c r="AO62" s="136"/>
      <c r="AP62" s="136"/>
      <c r="AQ62" s="136"/>
      <c r="AR62" s="136"/>
      <c r="AS62" s="136"/>
      <c r="AT62" s="136"/>
      <c r="AU62" s="136"/>
      <c r="AV62" s="136"/>
      <c r="AW62" s="136"/>
      <c r="AX62" s="136"/>
      <c r="AY62" s="78"/>
      <c r="AZ62" s="136"/>
      <c r="BA62" s="136"/>
      <c r="BB62" s="136"/>
      <c r="BC62" s="136"/>
      <c r="BD62" s="136"/>
      <c r="BE62" s="136"/>
      <c r="BF62" s="136"/>
      <c r="BG62" s="136"/>
      <c r="BH62" s="136"/>
      <c r="BI62" s="138"/>
      <c r="BK62" s="181"/>
      <c r="BL62" s="192"/>
      <c r="BM62" s="192"/>
      <c r="BN62" s="193"/>
      <c r="BO62" s="68"/>
      <c r="BP62" s="68"/>
    </row>
    <row r="63" spans="1:68" s="77" customFormat="1" ht="17.25" customHeight="1">
      <c r="A63" s="67"/>
      <c r="B63" s="269">
        <v>6</v>
      </c>
      <c r="C63" s="1938" t="s">
        <v>1275</v>
      </c>
      <c r="D63" s="1939">
        <v>44792</v>
      </c>
      <c r="E63" s="1939">
        <v>45888</v>
      </c>
      <c r="F63" s="1940">
        <f t="shared" si="1"/>
        <v>1096</v>
      </c>
      <c r="G63" s="208" t="s">
        <v>1257</v>
      </c>
      <c r="H63" s="1938" t="s">
        <v>1397</v>
      </c>
      <c r="I63" s="1938" t="s">
        <v>1266</v>
      </c>
      <c r="J63" s="208" t="s">
        <v>1260</v>
      </c>
      <c r="K63" s="1957" t="s">
        <v>1398</v>
      </c>
      <c r="L63" s="1958">
        <v>228712000</v>
      </c>
      <c r="M63" s="270">
        <v>3.3099999999999997E-2</v>
      </c>
      <c r="N63" s="131"/>
      <c r="O63" s="131"/>
      <c r="P63" s="131"/>
      <c r="Q63" s="131"/>
      <c r="R63" s="131"/>
      <c r="S63" s="131"/>
      <c r="T63" s="1945"/>
      <c r="U63" s="1943"/>
      <c r="V63" s="1943"/>
      <c r="W63" s="1943"/>
      <c r="X63" s="1943"/>
      <c r="Y63" s="1943"/>
      <c r="Z63" s="1943"/>
      <c r="AA63" s="1966"/>
      <c r="AB63" s="1943"/>
      <c r="AC63" s="1966"/>
      <c r="AD63" s="1966"/>
      <c r="AE63" s="1943"/>
      <c r="AF63" s="1966"/>
      <c r="AG63" s="1943"/>
      <c r="AH63" s="1943"/>
      <c r="AI63" s="1943"/>
      <c r="AJ63" s="1943"/>
      <c r="AK63" s="1966"/>
      <c r="AL63" s="1966"/>
      <c r="AM63" s="1948" t="s">
        <v>1262</v>
      </c>
      <c r="AN63" s="1948"/>
      <c r="AO63" s="1948"/>
      <c r="AP63" s="1948"/>
      <c r="AQ63" s="1948"/>
      <c r="AR63" s="1948"/>
      <c r="AS63" s="1948"/>
      <c r="AT63" s="1943"/>
      <c r="AU63" s="1943"/>
      <c r="AV63" s="1943"/>
      <c r="AW63" s="1966"/>
      <c r="AX63" s="1943"/>
      <c r="AY63" s="1943"/>
      <c r="AZ63" s="1967"/>
      <c r="BA63" s="1967"/>
      <c r="BB63" s="1967"/>
      <c r="BC63" s="1967"/>
      <c r="BD63" s="1967"/>
      <c r="BE63" s="1967"/>
      <c r="BF63" s="1967"/>
      <c r="BG63" s="1967"/>
      <c r="BH63" s="1967"/>
      <c r="BI63" s="1967"/>
      <c r="BJ63" s="1963" t="s">
        <v>1262</v>
      </c>
      <c r="BK63" s="181"/>
      <c r="BL63" s="192"/>
      <c r="BM63" s="192"/>
      <c r="BN63" s="193"/>
      <c r="BO63" s="68"/>
      <c r="BP63" s="68"/>
    </row>
    <row r="64" spans="1:68" s="77" customFormat="1" ht="17.25" customHeight="1">
      <c r="A64" s="67"/>
      <c r="B64" s="269">
        <v>25</v>
      </c>
      <c r="C64" s="1938" t="s">
        <v>495</v>
      </c>
      <c r="D64" s="1939">
        <v>44719</v>
      </c>
      <c r="E64" s="1939">
        <v>45815</v>
      </c>
      <c r="F64" s="1940">
        <f t="shared" si="1"/>
        <v>1096</v>
      </c>
      <c r="G64" s="208" t="s">
        <v>396</v>
      </c>
      <c r="H64" s="1938" t="s">
        <v>496</v>
      </c>
      <c r="I64" s="1938" t="s">
        <v>497</v>
      </c>
      <c r="J64" s="208" t="s">
        <v>453</v>
      </c>
      <c r="K64" s="1957" t="s">
        <v>1399</v>
      </c>
      <c r="L64" s="1958">
        <v>44110000</v>
      </c>
      <c r="M64" s="270">
        <v>3.0700000000000002E-2</v>
      </c>
      <c r="N64" s="131"/>
      <c r="O64" s="131"/>
      <c r="P64" s="131"/>
      <c r="Q64" s="131"/>
      <c r="R64" s="131"/>
      <c r="S64" s="131"/>
      <c r="T64" s="1945"/>
      <c r="U64" s="1943"/>
      <c r="V64" s="1943"/>
      <c r="W64" s="1943"/>
      <c r="X64" s="1943"/>
      <c r="Y64" s="1943"/>
      <c r="Z64" s="1943"/>
      <c r="AA64" s="1966"/>
      <c r="AB64" s="1943"/>
      <c r="AC64" s="1966"/>
      <c r="AD64" s="1966"/>
      <c r="AE64" s="1943"/>
      <c r="AF64" s="1966"/>
      <c r="AG64" s="1943"/>
      <c r="AH64" s="1943"/>
      <c r="AI64" s="1943"/>
      <c r="AJ64" s="1943"/>
      <c r="AK64" s="1966"/>
      <c r="AL64" s="1966"/>
      <c r="AM64" s="1948" t="s">
        <v>1262</v>
      </c>
      <c r="AN64" s="1948"/>
      <c r="AO64" s="1948"/>
      <c r="AP64" s="1948"/>
      <c r="AQ64" s="1948"/>
      <c r="AR64" s="1948"/>
      <c r="AS64" s="1948"/>
      <c r="AT64" s="1943"/>
      <c r="AU64" s="1943"/>
      <c r="AV64" s="1943"/>
      <c r="AW64" s="1966"/>
      <c r="AX64" s="1943"/>
      <c r="AY64" s="1943"/>
      <c r="AZ64" s="1967"/>
      <c r="BA64" s="1967"/>
      <c r="BB64" s="1967"/>
      <c r="BC64" s="1967"/>
      <c r="BD64" s="1967"/>
      <c r="BE64" s="1967"/>
      <c r="BF64" s="1967"/>
      <c r="BG64" s="1967"/>
      <c r="BH64" s="1967"/>
      <c r="BI64" s="1967"/>
      <c r="BJ64" s="1963" t="s">
        <v>1262</v>
      </c>
      <c r="BK64" s="181"/>
      <c r="BL64" s="192"/>
      <c r="BM64" s="192"/>
      <c r="BN64" s="193"/>
      <c r="BO64" s="68"/>
      <c r="BP64" s="68"/>
    </row>
    <row r="65" spans="1:68" s="77" customFormat="1" ht="17.25" customHeight="1">
      <c r="A65" s="67"/>
      <c r="B65" s="269">
        <v>9</v>
      </c>
      <c r="C65" s="1938" t="s">
        <v>1400</v>
      </c>
      <c r="D65" s="1939">
        <v>45030</v>
      </c>
      <c r="E65" s="1939">
        <v>46126</v>
      </c>
      <c r="F65" s="1940">
        <f t="shared" si="1"/>
        <v>1096</v>
      </c>
      <c r="G65" s="208" t="s">
        <v>396</v>
      </c>
      <c r="H65" s="1938" t="s">
        <v>1401</v>
      </c>
      <c r="I65" s="1938" t="s">
        <v>1266</v>
      </c>
      <c r="J65" s="208" t="s">
        <v>1260</v>
      </c>
      <c r="K65" s="1957" t="s">
        <v>1402</v>
      </c>
      <c r="L65" s="1958">
        <v>113590000</v>
      </c>
      <c r="M65" s="270">
        <v>3.5499999999999997E-2</v>
      </c>
      <c r="N65" s="131"/>
      <c r="O65" s="131"/>
      <c r="P65" s="131"/>
      <c r="Q65" s="131"/>
      <c r="R65" s="131"/>
      <c r="S65" s="131"/>
      <c r="T65" s="1945"/>
      <c r="U65" s="1943"/>
      <c r="V65" s="1943"/>
      <c r="W65" s="1943"/>
      <c r="X65" s="1943"/>
      <c r="Y65" s="1943"/>
      <c r="Z65" s="1943"/>
      <c r="AA65" s="1966"/>
      <c r="AB65" s="1943"/>
      <c r="AC65" s="1966"/>
      <c r="AD65" s="1966"/>
      <c r="AE65" s="1943"/>
      <c r="AF65" s="1966"/>
      <c r="AG65" s="1943"/>
      <c r="AH65" s="1943"/>
      <c r="AI65" s="1943"/>
      <c r="AJ65" s="1943"/>
      <c r="AK65" s="1966"/>
      <c r="AL65" s="1966"/>
      <c r="AM65" s="1948" t="s">
        <v>1262</v>
      </c>
      <c r="AN65" s="1948"/>
      <c r="AO65" s="1948"/>
      <c r="AP65" s="1948"/>
      <c r="AQ65" s="1948"/>
      <c r="AR65" s="1948"/>
      <c r="AS65" s="1948"/>
      <c r="AT65" s="1943"/>
      <c r="AU65" s="1943"/>
      <c r="AV65" s="1943"/>
      <c r="AW65" s="1966"/>
      <c r="AX65" s="1943"/>
      <c r="AY65" s="1943"/>
      <c r="AZ65" s="1967"/>
      <c r="BA65" s="1967"/>
      <c r="BB65" s="1967"/>
      <c r="BC65" s="1967"/>
      <c r="BD65" s="1967"/>
      <c r="BE65" s="1967"/>
      <c r="BF65" s="1967"/>
      <c r="BG65" s="1967"/>
      <c r="BH65" s="1967"/>
      <c r="BI65" s="1967"/>
      <c r="BJ65" s="1963" t="s">
        <v>1262</v>
      </c>
      <c r="BK65" s="194"/>
      <c r="BL65" s="192"/>
      <c r="BM65" s="192"/>
      <c r="BN65" s="193"/>
      <c r="BO65" s="68"/>
      <c r="BP65" s="68"/>
    </row>
    <row r="66" spans="1:68" ht="20.25" customHeight="1">
      <c r="B66" s="1968" t="s">
        <v>2137</v>
      </c>
      <c r="C66" s="1938" t="s">
        <v>1268</v>
      </c>
      <c r="D66" s="1939">
        <v>45098</v>
      </c>
      <c r="E66" s="1939">
        <v>46194</v>
      </c>
      <c r="F66" s="1940">
        <f t="shared" si="1"/>
        <v>1096</v>
      </c>
      <c r="G66" s="208" t="s">
        <v>396</v>
      </c>
      <c r="H66" s="1938" t="s">
        <v>1403</v>
      </c>
      <c r="I66" s="1938" t="s">
        <v>1266</v>
      </c>
      <c r="J66" s="208" t="s">
        <v>1260</v>
      </c>
      <c r="K66" s="1946" t="s">
        <v>1404</v>
      </c>
      <c r="L66" s="1958">
        <v>65817000</v>
      </c>
      <c r="M66" s="270">
        <v>3.8899999999999997E-2</v>
      </c>
      <c r="N66" s="125" t="s">
        <v>1405</v>
      </c>
      <c r="O66" s="79"/>
      <c r="P66" s="79"/>
      <c r="Q66" s="79"/>
      <c r="R66" s="79"/>
      <c r="S66" s="79"/>
      <c r="T66" s="79"/>
      <c r="U66" s="79"/>
      <c r="V66" s="79"/>
      <c r="W66" s="79"/>
      <c r="X66" s="79"/>
      <c r="Y66" s="79"/>
      <c r="Z66" s="79"/>
      <c r="AT66" s="79"/>
      <c r="AU66" s="79"/>
      <c r="AY66" s="79"/>
      <c r="AZ66" s="79"/>
      <c r="BA66" s="79"/>
      <c r="BB66" s="79"/>
      <c r="BC66" s="79"/>
      <c r="BD66" s="79"/>
      <c r="BE66" s="79"/>
      <c r="BF66" s="79"/>
      <c r="BG66" s="79"/>
      <c r="BH66" s="79"/>
      <c r="BI66" s="79"/>
      <c r="BK66" s="194"/>
      <c r="BL66" s="195"/>
      <c r="BM66" s="196"/>
      <c r="BN66" s="197"/>
    </row>
    <row r="67" spans="1:68" ht="20.25" customHeight="1">
      <c r="B67" s="1962">
        <v>8</v>
      </c>
      <c r="C67" s="1938" t="s">
        <v>1327</v>
      </c>
      <c r="D67" s="1939">
        <v>45232</v>
      </c>
      <c r="E67" s="1939">
        <v>46328</v>
      </c>
      <c r="F67" s="1940">
        <f t="shared" si="1"/>
        <v>1096</v>
      </c>
      <c r="G67" s="208" t="s">
        <v>396</v>
      </c>
      <c r="H67" s="1938" t="s">
        <v>1403</v>
      </c>
      <c r="I67" s="1938" t="s">
        <v>1266</v>
      </c>
      <c r="J67" s="208" t="s">
        <v>1260</v>
      </c>
      <c r="K67" s="1946" t="s">
        <v>1406</v>
      </c>
      <c r="L67" s="1958">
        <v>89016900</v>
      </c>
      <c r="M67" s="270">
        <v>4.5199999999999997E-2</v>
      </c>
      <c r="N67" s="125" t="s">
        <v>1405</v>
      </c>
      <c r="O67" s="79"/>
      <c r="P67" s="79"/>
      <c r="Q67" s="79"/>
      <c r="R67" s="79"/>
      <c r="S67" s="79"/>
      <c r="T67" s="79"/>
      <c r="U67" s="79"/>
      <c r="V67" s="79"/>
      <c r="W67" s="79"/>
      <c r="X67" s="79"/>
      <c r="Y67" s="79"/>
      <c r="Z67" s="79"/>
      <c r="AT67" s="79"/>
      <c r="AU67" s="79"/>
      <c r="AY67" s="79"/>
      <c r="AZ67" s="79"/>
      <c r="BA67" s="79"/>
      <c r="BB67" s="79"/>
      <c r="BC67" s="79"/>
      <c r="BD67" s="79"/>
      <c r="BE67" s="79"/>
      <c r="BF67" s="79"/>
      <c r="BG67" s="79"/>
      <c r="BH67" s="79"/>
      <c r="BI67" s="79"/>
      <c r="BK67" s="194"/>
      <c r="BL67" s="195"/>
      <c r="BM67" s="196"/>
      <c r="BN67" s="197"/>
    </row>
    <row r="68" spans="1:68" ht="16.5" customHeight="1">
      <c r="B68" s="1969" t="s">
        <v>2138</v>
      </c>
      <c r="C68" s="1970" t="s">
        <v>1327</v>
      </c>
      <c r="D68" s="1971">
        <v>45391</v>
      </c>
      <c r="E68" s="1971">
        <v>46486</v>
      </c>
      <c r="F68" s="1972">
        <f t="shared" si="1"/>
        <v>1095</v>
      </c>
      <c r="G68" s="1973" t="s">
        <v>1257</v>
      </c>
      <c r="H68" s="1970" t="s">
        <v>1407</v>
      </c>
      <c r="I68" s="1970" t="s">
        <v>1266</v>
      </c>
      <c r="J68" s="1973" t="s">
        <v>1260</v>
      </c>
      <c r="K68" s="1974" t="s">
        <v>1408</v>
      </c>
      <c r="L68" s="1975">
        <v>49998000</v>
      </c>
      <c r="M68" s="1976">
        <v>3.3300000000000003E-2</v>
      </c>
      <c r="N68" s="284"/>
      <c r="O68" s="285"/>
      <c r="P68" s="285"/>
      <c r="Q68" s="285"/>
      <c r="R68" s="285"/>
      <c r="S68" s="285"/>
      <c r="T68" s="285"/>
      <c r="U68" s="285"/>
      <c r="V68" s="285"/>
      <c r="W68" s="285"/>
      <c r="X68" s="285"/>
      <c r="Y68" s="285"/>
      <c r="Z68" s="285"/>
      <c r="AA68" s="286"/>
      <c r="AB68" s="286"/>
      <c r="AC68" s="286"/>
      <c r="AD68" s="286"/>
      <c r="AE68" s="286"/>
      <c r="AF68" s="286"/>
      <c r="AG68" s="286"/>
      <c r="AH68" s="286"/>
      <c r="AI68" s="286"/>
      <c r="AJ68" s="286"/>
      <c r="AK68" s="286"/>
      <c r="AL68" s="286"/>
      <c r="AM68" s="286"/>
      <c r="AN68" s="286"/>
      <c r="AO68" s="286"/>
      <c r="AP68" s="286"/>
      <c r="AQ68" s="286"/>
      <c r="AR68" s="286"/>
      <c r="AS68" s="286"/>
      <c r="AT68" s="285"/>
      <c r="AU68" s="285"/>
      <c r="AV68" s="286"/>
      <c r="AW68" s="286"/>
      <c r="AX68" s="286"/>
      <c r="AY68" s="285"/>
      <c r="AZ68" s="285"/>
      <c r="BA68" s="285"/>
      <c r="BB68" s="285"/>
      <c r="BC68" s="285"/>
      <c r="BD68" s="285"/>
      <c r="BE68" s="285"/>
      <c r="BF68" s="285"/>
      <c r="BG68" s="285"/>
      <c r="BH68" s="285"/>
      <c r="BI68" s="285"/>
      <c r="BJ68" s="286"/>
      <c r="BK68" s="287"/>
      <c r="BL68" s="288"/>
      <c r="BM68" s="289"/>
      <c r="BN68" s="290"/>
    </row>
    <row r="69" spans="1:68">
      <c r="B69" s="1977" t="s">
        <v>2139</v>
      </c>
      <c r="C69" s="1978" t="s">
        <v>1382</v>
      </c>
      <c r="D69" s="1979">
        <v>45492</v>
      </c>
      <c r="E69" s="1979">
        <v>45857</v>
      </c>
      <c r="F69" s="1980">
        <f t="shared" si="1"/>
        <v>365</v>
      </c>
      <c r="G69" s="1981" t="s">
        <v>1257</v>
      </c>
      <c r="H69" s="1978" t="s">
        <v>2140</v>
      </c>
      <c r="I69" s="1978" t="s">
        <v>1266</v>
      </c>
      <c r="J69" s="1981" t="s">
        <v>1260</v>
      </c>
      <c r="K69" s="1982" t="s">
        <v>2141</v>
      </c>
      <c r="L69" s="1983">
        <v>58697000</v>
      </c>
      <c r="M69" s="1984">
        <v>3.2800000000000003E-2</v>
      </c>
      <c r="N69" s="284"/>
      <c r="O69" s="285"/>
      <c r="P69" s="285"/>
      <c r="Q69" s="285"/>
      <c r="R69" s="285"/>
      <c r="S69" s="285"/>
      <c r="T69" s="285"/>
      <c r="U69" s="285"/>
      <c r="V69" s="285"/>
      <c r="W69" s="285"/>
      <c r="X69" s="285"/>
      <c r="Y69" s="285"/>
      <c r="Z69" s="285"/>
      <c r="AA69" s="286"/>
      <c r="AB69" s="286"/>
      <c r="AC69" s="286"/>
      <c r="AD69" s="286"/>
      <c r="AE69" s="286"/>
      <c r="AF69" s="286"/>
      <c r="AG69" s="286"/>
      <c r="AH69" s="286"/>
      <c r="AI69" s="286"/>
      <c r="AJ69" s="286"/>
      <c r="AK69" s="286"/>
      <c r="AL69" s="286"/>
      <c r="AM69" s="286"/>
      <c r="AN69" s="286"/>
      <c r="AO69" s="286"/>
      <c r="AP69" s="286"/>
      <c r="AQ69" s="286"/>
      <c r="AR69" s="286"/>
      <c r="AS69" s="286"/>
      <c r="AT69" s="285"/>
      <c r="AU69" s="285"/>
      <c r="AV69" s="286"/>
      <c r="AW69" s="286"/>
      <c r="AX69" s="286"/>
      <c r="AY69" s="285"/>
      <c r="AZ69" s="285"/>
      <c r="BA69" s="285"/>
      <c r="BB69" s="285"/>
      <c r="BC69" s="285"/>
      <c r="BD69" s="285"/>
      <c r="BE69" s="285"/>
      <c r="BF69" s="285"/>
      <c r="BG69" s="285"/>
      <c r="BH69" s="285"/>
      <c r="BI69" s="285"/>
      <c r="BJ69" s="286"/>
      <c r="BK69" s="287"/>
      <c r="BL69" s="288"/>
      <c r="BM69" s="289"/>
      <c r="BN69" s="290"/>
    </row>
    <row r="70" spans="1:68">
      <c r="B70" s="3012" t="s">
        <v>1409</v>
      </c>
      <c r="C70" s="3013"/>
      <c r="D70" s="3013"/>
      <c r="E70" s="3013"/>
      <c r="F70" s="3013"/>
      <c r="G70" s="3013"/>
      <c r="H70" s="3013"/>
      <c r="I70" s="3013"/>
      <c r="J70" s="3013"/>
      <c r="K70" s="1985"/>
      <c r="L70" s="1986">
        <f>SUM(L8:L69)</f>
        <v>14153519420</v>
      </c>
      <c r="M70" s="291"/>
      <c r="N70" s="148" t="s">
        <v>1410</v>
      </c>
      <c r="O70" s="74"/>
      <c r="P70" s="74"/>
      <c r="Q70" s="74"/>
      <c r="R70" s="74"/>
      <c r="S70" s="74"/>
      <c r="T70" s="74"/>
      <c r="U70" s="74"/>
      <c r="V70" s="74"/>
      <c r="W70" s="74"/>
      <c r="AY70" s="79"/>
      <c r="AZ70" s="79"/>
      <c r="BA70" s="79"/>
      <c r="BB70" s="79"/>
      <c r="BC70" s="79"/>
      <c r="BD70" s="79"/>
      <c r="BE70" s="79"/>
      <c r="BF70" s="79"/>
      <c r="BG70" s="79"/>
      <c r="BH70" s="79"/>
      <c r="BI70" s="79"/>
      <c r="BK70" s="142"/>
      <c r="BL70" s="139">
        <f>SUM(BL8:BL68)</f>
        <v>1890751100</v>
      </c>
      <c r="BM70" s="142"/>
      <c r="BN70" s="130"/>
    </row>
    <row r="71" spans="1:68">
      <c r="L71" s="149"/>
      <c r="N71" s="148" t="s">
        <v>2142</v>
      </c>
      <c r="O71" s="74"/>
      <c r="P71" s="74"/>
      <c r="Q71" s="74"/>
      <c r="R71" s="74"/>
      <c r="S71" s="74"/>
      <c r="T71" s="74"/>
      <c r="U71" s="74"/>
      <c r="V71" s="74"/>
      <c r="W71" s="74"/>
      <c r="AY71" s="79"/>
      <c r="AZ71" s="79"/>
      <c r="BA71" s="79"/>
      <c r="BB71" s="79"/>
      <c r="BC71" s="79"/>
      <c r="BD71" s="79"/>
      <c r="BE71" s="79"/>
      <c r="BF71" s="79"/>
      <c r="BG71" s="79"/>
      <c r="BH71" s="79"/>
      <c r="BI71" s="79"/>
      <c r="BK71" s="142"/>
      <c r="BL71" s="1987" t="s">
        <v>2143</v>
      </c>
      <c r="BM71" s="142"/>
      <c r="BN71" s="130"/>
    </row>
    <row r="72" spans="1:68">
      <c r="B72" s="79" t="s">
        <v>1411</v>
      </c>
      <c r="D72" s="3025" t="s">
        <v>1412</v>
      </c>
      <c r="E72" s="3025"/>
      <c r="F72" s="3026">
        <f>L70-BL70</f>
        <v>12262768320</v>
      </c>
      <c r="G72" s="3026"/>
      <c r="H72" s="3026"/>
      <c r="L72" s="74"/>
      <c r="N72" s="150"/>
      <c r="O72" s="150"/>
      <c r="P72" s="150"/>
      <c r="Q72" s="150"/>
      <c r="R72" s="150"/>
      <c r="S72" s="150"/>
      <c r="T72" s="150"/>
      <c r="U72" s="151"/>
      <c r="V72" s="150"/>
      <c r="W72" s="150"/>
      <c r="X72" s="150"/>
      <c r="Y72" s="150"/>
      <c r="Z72" s="150"/>
      <c r="AJ72" s="150"/>
      <c r="AT72" s="150"/>
      <c r="AY72" s="79"/>
      <c r="AZ72" s="79"/>
      <c r="BA72" s="79"/>
      <c r="BB72" s="79"/>
      <c r="BC72" s="79"/>
      <c r="BD72" s="79"/>
      <c r="BE72" s="79"/>
      <c r="BF72" s="79"/>
      <c r="BG72" s="79"/>
      <c r="BH72" s="79"/>
      <c r="BI72" s="79"/>
      <c r="BK72" s="142"/>
      <c r="BL72" s="142"/>
      <c r="BM72" s="142"/>
      <c r="BN72" s="130"/>
    </row>
    <row r="73" spans="1:68" ht="17.25" thickBot="1">
      <c r="D73" s="3027" t="s">
        <v>1413</v>
      </c>
      <c r="E73" s="3027"/>
      <c r="F73" s="3028" t="e">
        <f>+BN75+BN87</f>
        <v>#VALUE!</v>
      </c>
      <c r="G73" s="3028"/>
      <c r="H73" s="3028"/>
      <c r="L73" s="1988"/>
      <c r="O73" s="74"/>
      <c r="P73" s="74"/>
      <c r="Q73" s="74"/>
      <c r="R73" s="74"/>
      <c r="S73" s="74"/>
      <c r="T73" s="74"/>
      <c r="U73" s="74"/>
      <c r="V73" s="74"/>
      <c r="W73" s="74"/>
      <c r="AY73" s="79"/>
      <c r="AZ73" s="79"/>
      <c r="BA73" s="79"/>
      <c r="BB73" s="79"/>
      <c r="BC73" s="79"/>
      <c r="BD73" s="79"/>
      <c r="BE73" s="79"/>
      <c r="BF73" s="79"/>
      <c r="BG73" s="79"/>
      <c r="BH73" s="79"/>
      <c r="BI73" s="79"/>
      <c r="BK73" s="142"/>
      <c r="BL73" s="142"/>
      <c r="BM73" s="142"/>
      <c r="BN73" s="130"/>
    </row>
    <row r="74" spans="1:68" ht="21" thickBot="1">
      <c r="D74" s="3014" t="s">
        <v>1414</v>
      </c>
      <c r="E74" s="3015"/>
      <c r="F74" s="3016" t="e">
        <f>F72+F73</f>
        <v>#VALUE!</v>
      </c>
      <c r="G74" s="3016"/>
      <c r="H74" s="3017"/>
      <c r="L74" s="149"/>
      <c r="O74" s="74"/>
      <c r="P74" s="74"/>
      <c r="Q74" s="74"/>
      <c r="R74" s="74"/>
      <c r="S74" s="74"/>
      <c r="T74" s="74"/>
      <c r="U74" s="74"/>
      <c r="V74" s="74"/>
      <c r="W74" s="74"/>
      <c r="AA74" s="125"/>
      <c r="AB74" s="125"/>
      <c r="AC74" s="125"/>
      <c r="AD74" s="125"/>
      <c r="AE74" s="125"/>
      <c r="AF74" s="125"/>
      <c r="AG74" s="125"/>
      <c r="AH74" s="125"/>
      <c r="AI74" s="125"/>
      <c r="AW74" s="125"/>
      <c r="AX74" s="125"/>
      <c r="AY74" s="79"/>
      <c r="AZ74" s="79"/>
      <c r="BA74" s="79"/>
      <c r="BB74" s="79"/>
      <c r="BC74" s="79"/>
      <c r="BD74" s="79"/>
      <c r="BE74" s="79"/>
      <c r="BF74" s="79"/>
      <c r="BG74" s="79"/>
      <c r="BH74" s="79"/>
      <c r="BI74" s="79"/>
      <c r="BK74" s="142"/>
      <c r="BL74" s="144" t="s">
        <v>1415</v>
      </c>
      <c r="BM74" s="142"/>
      <c r="BN74" s="130"/>
    </row>
    <row r="75" spans="1:68">
      <c r="B75" s="143"/>
      <c r="L75" s="74"/>
      <c r="M75" s="149"/>
      <c r="N75" s="126" t="s">
        <v>1416</v>
      </c>
      <c r="O75" s="74"/>
      <c r="P75" s="74"/>
      <c r="Q75" s="74"/>
      <c r="R75" s="74"/>
      <c r="S75" s="74"/>
      <c r="T75" s="74"/>
      <c r="U75" s="74"/>
      <c r="V75" s="74"/>
      <c r="W75" s="74"/>
      <c r="AY75" s="79"/>
      <c r="AZ75" s="79"/>
      <c r="BA75" s="79"/>
      <c r="BB75" s="79"/>
      <c r="BC75" s="79"/>
      <c r="BD75" s="79"/>
      <c r="BE75" s="79"/>
      <c r="BF75" s="79"/>
      <c r="BG75" s="79"/>
      <c r="BH75" s="79"/>
      <c r="BI75" s="79"/>
      <c r="BK75" s="142"/>
      <c r="BL75" s="3018" t="s">
        <v>653</v>
      </c>
      <c r="BM75" s="3019"/>
      <c r="BN75" s="1989" t="s">
        <v>2171</v>
      </c>
    </row>
    <row r="76" spans="1:68">
      <c r="B76" s="152"/>
      <c r="C76" s="152"/>
      <c r="D76" s="153"/>
      <c r="E76" s="153"/>
      <c r="F76" s="154"/>
      <c r="G76" s="152"/>
      <c r="H76" s="152"/>
      <c r="I76" s="152"/>
      <c r="J76" s="152"/>
      <c r="K76" s="155"/>
      <c r="L76" s="156"/>
      <c r="M76" s="157"/>
      <c r="N76" s="158" t="s">
        <v>1417</v>
      </c>
      <c r="O76" s="74"/>
      <c r="P76" s="74"/>
      <c r="Q76" s="74"/>
      <c r="R76" s="74"/>
      <c r="S76" s="74"/>
      <c r="T76" s="74"/>
      <c r="U76" s="74"/>
      <c r="V76" s="74"/>
      <c r="W76" s="74"/>
      <c r="AY76" s="79"/>
      <c r="AZ76" s="79"/>
      <c r="BA76" s="79"/>
      <c r="BB76" s="79"/>
      <c r="BC76" s="79"/>
      <c r="BD76" s="79"/>
      <c r="BE76" s="79"/>
      <c r="BF76" s="79"/>
      <c r="BG76" s="79"/>
      <c r="BH76" s="79"/>
      <c r="BI76" s="79"/>
      <c r="BK76" s="142"/>
      <c r="BL76" s="142"/>
      <c r="BM76" s="142"/>
      <c r="BN76" s="130"/>
    </row>
    <row r="77" spans="1:68">
      <c r="B77" s="152"/>
      <c r="C77" s="152"/>
      <c r="D77" s="3020" t="s">
        <v>2144</v>
      </c>
      <c r="E77" s="3020"/>
      <c r="F77" s="3021">
        <v>13996030820</v>
      </c>
      <c r="G77" s="3021"/>
      <c r="H77" s="3021"/>
      <c r="I77" s="152"/>
      <c r="J77" s="152"/>
      <c r="K77" s="155"/>
      <c r="L77" s="156"/>
      <c r="M77" s="157"/>
      <c r="N77" s="158" t="s">
        <v>1418</v>
      </c>
      <c r="O77" s="74"/>
      <c r="P77" s="74"/>
      <c r="Q77" s="74"/>
      <c r="R77" s="74"/>
      <c r="S77" s="74"/>
      <c r="T77" s="74"/>
      <c r="U77" s="74"/>
      <c r="V77" s="74"/>
      <c r="W77" s="74"/>
      <c r="AY77" s="79"/>
      <c r="AZ77" s="79"/>
      <c r="BA77" s="79"/>
      <c r="BB77" s="79"/>
      <c r="BC77" s="79"/>
      <c r="BD77" s="79"/>
      <c r="BE77" s="79"/>
      <c r="BF77" s="79"/>
      <c r="BG77" s="79"/>
      <c r="BH77" s="79"/>
      <c r="BI77" s="79"/>
      <c r="BK77" s="142"/>
      <c r="BL77" s="145" t="s">
        <v>498</v>
      </c>
      <c r="BM77" s="146"/>
      <c r="BN77" s="147"/>
    </row>
    <row r="78" spans="1:68">
      <c r="B78" s="152"/>
      <c r="C78" s="152"/>
      <c r="D78" s="3029" t="s">
        <v>2145</v>
      </c>
      <c r="E78" s="3029"/>
      <c r="F78" s="3022" t="e">
        <f>F74=F77</f>
        <v>#VALUE!</v>
      </c>
      <c r="G78" s="3022"/>
      <c r="H78" s="3022"/>
      <c r="I78" s="152"/>
      <c r="J78" s="152"/>
      <c r="K78" s="155"/>
      <c r="L78" s="156"/>
      <c r="M78" s="157"/>
      <c r="N78" s="158" t="s">
        <v>1419</v>
      </c>
      <c r="O78" s="74"/>
      <c r="P78" s="74"/>
      <c r="Q78" s="74"/>
      <c r="R78" s="74"/>
      <c r="S78" s="74"/>
      <c r="T78" s="74"/>
      <c r="U78" s="74"/>
      <c r="V78" s="74"/>
      <c r="W78" s="74"/>
      <c r="AY78" s="79"/>
      <c r="AZ78" s="79"/>
      <c r="BA78" s="79"/>
      <c r="BB78" s="79"/>
      <c r="BC78" s="79"/>
      <c r="BD78" s="79"/>
      <c r="BE78" s="79"/>
      <c r="BF78" s="79"/>
      <c r="BG78" s="79"/>
      <c r="BH78" s="79"/>
      <c r="BI78" s="79"/>
      <c r="BK78" s="142"/>
      <c r="BL78" s="1990" t="s">
        <v>499</v>
      </c>
      <c r="BM78" s="1990" t="s">
        <v>500</v>
      </c>
      <c r="BN78" s="1991" t="s">
        <v>501</v>
      </c>
    </row>
    <row r="79" spans="1:68">
      <c r="B79" s="152"/>
      <c r="C79" s="152"/>
      <c r="D79" s="153"/>
      <c r="E79" s="153"/>
      <c r="F79" s="154"/>
      <c r="G79" s="152"/>
      <c r="H79" s="152"/>
      <c r="I79" s="152"/>
      <c r="J79" s="152"/>
      <c r="K79" s="155"/>
      <c r="L79" s="156"/>
      <c r="M79" s="157"/>
      <c r="N79" s="125" t="s">
        <v>1420</v>
      </c>
      <c r="O79" s="74"/>
      <c r="P79" s="74"/>
      <c r="Q79" s="74"/>
      <c r="R79" s="74"/>
      <c r="S79" s="74"/>
      <c r="T79" s="74"/>
      <c r="U79" s="74"/>
      <c r="V79" s="74"/>
      <c r="W79" s="74"/>
      <c r="AY79" s="79"/>
      <c r="AZ79" s="79"/>
      <c r="BA79" s="79"/>
      <c r="BB79" s="79"/>
      <c r="BC79" s="79"/>
      <c r="BD79" s="79"/>
      <c r="BE79" s="79"/>
      <c r="BF79" s="79"/>
      <c r="BG79" s="79"/>
      <c r="BH79" s="79"/>
      <c r="BI79" s="79"/>
      <c r="BK79" s="142"/>
      <c r="BL79" s="1992">
        <v>0</v>
      </c>
      <c r="BM79" s="1992">
        <v>0</v>
      </c>
      <c r="BN79" s="1993">
        <v>0</v>
      </c>
    </row>
    <row r="80" spans="1:68">
      <c r="B80" s="152"/>
      <c r="C80" s="152"/>
      <c r="D80" s="153"/>
      <c r="E80" s="153"/>
      <c r="F80" s="154"/>
      <c r="G80" s="152"/>
      <c r="H80" s="152"/>
      <c r="I80" s="152"/>
      <c r="J80" s="152"/>
      <c r="K80" s="155"/>
      <c r="L80" s="156"/>
      <c r="M80" s="157"/>
      <c r="N80" s="125" t="s">
        <v>1421</v>
      </c>
      <c r="O80" s="74"/>
      <c r="P80" s="74"/>
      <c r="Q80" s="74"/>
      <c r="R80" s="74"/>
      <c r="S80" s="74"/>
      <c r="T80" s="74"/>
      <c r="U80" s="74"/>
      <c r="V80" s="74"/>
      <c r="W80" s="74"/>
      <c r="AY80" s="79"/>
      <c r="AZ80" s="79"/>
      <c r="BA80" s="79"/>
      <c r="BB80" s="79"/>
      <c r="BC80" s="79"/>
      <c r="BD80" s="79"/>
      <c r="BE80" s="79"/>
      <c r="BF80" s="79"/>
      <c r="BG80" s="79"/>
      <c r="BH80" s="79"/>
      <c r="BI80" s="79"/>
      <c r="BK80" s="142"/>
      <c r="BL80" s="1992">
        <v>0</v>
      </c>
      <c r="BM80" s="1992" t="s">
        <v>2172</v>
      </c>
      <c r="BN80" s="1993">
        <v>0</v>
      </c>
    </row>
    <row r="81" spans="2:67">
      <c r="B81" s="152"/>
      <c r="C81" s="152"/>
      <c r="D81" s="153"/>
      <c r="E81" s="153"/>
      <c r="F81" s="154"/>
      <c r="G81" s="152"/>
      <c r="H81" s="152"/>
      <c r="I81" s="152"/>
      <c r="J81" s="152"/>
      <c r="K81" s="155"/>
      <c r="L81" s="156"/>
      <c r="M81" s="157"/>
      <c r="N81" s="158" t="s">
        <v>1422</v>
      </c>
      <c r="O81" s="74"/>
      <c r="P81" s="74"/>
      <c r="Q81" s="74"/>
      <c r="R81" s="74"/>
      <c r="S81" s="74"/>
      <c r="T81" s="74"/>
      <c r="U81" s="74"/>
      <c r="V81" s="74"/>
      <c r="W81" s="74"/>
      <c r="AY81" s="79"/>
      <c r="AZ81" s="79"/>
      <c r="BA81" s="79"/>
      <c r="BB81" s="79"/>
      <c r="BC81" s="79"/>
      <c r="BD81" s="79"/>
      <c r="BE81" s="79"/>
      <c r="BF81" s="79"/>
      <c r="BG81" s="79"/>
      <c r="BH81" s="79"/>
      <c r="BI81" s="79"/>
      <c r="BK81" s="142"/>
      <c r="BL81" s="1992" t="s">
        <v>500</v>
      </c>
      <c r="BM81" s="1992" t="s">
        <v>501</v>
      </c>
      <c r="BN81" s="1993">
        <v>0</v>
      </c>
    </row>
    <row r="82" spans="2:67">
      <c r="B82" s="152"/>
      <c r="C82" s="152"/>
      <c r="D82" s="153"/>
      <c r="E82" s="153"/>
      <c r="F82" s="154"/>
      <c r="G82" s="152"/>
      <c r="H82" s="152"/>
      <c r="I82" s="152"/>
      <c r="J82" s="152"/>
      <c r="K82" s="155"/>
      <c r="L82" s="156"/>
      <c r="M82" s="157"/>
      <c r="N82" s="158" t="s">
        <v>1423</v>
      </c>
      <c r="O82" s="74"/>
      <c r="P82" s="74"/>
      <c r="Q82" s="74"/>
      <c r="R82" s="74"/>
      <c r="S82" s="74"/>
      <c r="T82" s="74"/>
      <c r="U82" s="74"/>
      <c r="V82" s="74"/>
      <c r="W82" s="74"/>
      <c r="AY82" s="79"/>
      <c r="AZ82" s="79"/>
      <c r="BA82" s="79"/>
      <c r="BB82" s="79"/>
      <c r="BC82" s="79"/>
      <c r="BD82" s="79"/>
      <c r="BE82" s="79"/>
      <c r="BF82" s="79"/>
      <c r="BG82" s="79"/>
      <c r="BH82" s="79"/>
      <c r="BI82" s="79"/>
      <c r="BK82" s="142"/>
      <c r="BL82" s="1992" t="s">
        <v>2173</v>
      </c>
      <c r="BM82" s="1992">
        <v>49000000</v>
      </c>
      <c r="BN82" s="1993">
        <v>0</v>
      </c>
    </row>
    <row r="83" spans="2:67">
      <c r="B83" s="152"/>
      <c r="C83" s="152"/>
      <c r="D83" s="153"/>
      <c r="E83" s="153"/>
      <c r="F83" s="154"/>
      <c r="G83" s="152"/>
      <c r="H83" s="152"/>
      <c r="I83" s="152"/>
      <c r="J83" s="152"/>
      <c r="K83" s="155"/>
      <c r="L83" s="156"/>
      <c r="M83" s="157"/>
      <c r="N83" s="158" t="s">
        <v>1423</v>
      </c>
      <c r="O83" s="74"/>
      <c r="P83" s="74"/>
      <c r="Q83" s="74"/>
      <c r="R83" s="74"/>
      <c r="S83" s="74"/>
      <c r="T83" s="74"/>
      <c r="U83" s="74"/>
      <c r="V83" s="74"/>
      <c r="W83" s="74"/>
      <c r="AY83" s="79"/>
      <c r="AZ83" s="79"/>
      <c r="BA83" s="79"/>
      <c r="BB83" s="79"/>
      <c r="BC83" s="79"/>
      <c r="BD83" s="79"/>
      <c r="BE83" s="79"/>
      <c r="BF83" s="79"/>
      <c r="BG83" s="79"/>
      <c r="BH83" s="79"/>
      <c r="BI83" s="79"/>
      <c r="BK83" s="142"/>
      <c r="BL83" s="1992" t="s">
        <v>131</v>
      </c>
      <c r="BM83" s="1992">
        <v>12006500</v>
      </c>
      <c r="BN83" s="1993">
        <v>0</v>
      </c>
    </row>
    <row r="84" spans="2:67">
      <c r="B84" s="152"/>
      <c r="C84" s="152"/>
      <c r="D84" s="153"/>
      <c r="E84" s="153"/>
      <c r="F84" s="154"/>
      <c r="G84" s="152"/>
      <c r="H84" s="152"/>
      <c r="I84" s="152"/>
      <c r="J84" s="152"/>
      <c r="K84" s="155"/>
      <c r="L84" s="156"/>
      <c r="M84" s="157"/>
      <c r="N84" s="158" t="s">
        <v>1423</v>
      </c>
      <c r="O84" s="74"/>
      <c r="P84" s="74"/>
      <c r="Q84" s="74"/>
      <c r="R84" s="74"/>
      <c r="S84" s="74"/>
      <c r="T84" s="74"/>
      <c r="U84" s="74"/>
      <c r="V84" s="74"/>
      <c r="W84" s="74"/>
      <c r="AY84" s="79"/>
      <c r="AZ84" s="79"/>
      <c r="BA84" s="79"/>
      <c r="BB84" s="79"/>
      <c r="BC84" s="79"/>
      <c r="BD84" s="79"/>
      <c r="BE84" s="79"/>
      <c r="BF84" s="79"/>
      <c r="BG84" s="79"/>
      <c r="BH84" s="79"/>
      <c r="BI84" s="79"/>
      <c r="BK84" s="142"/>
      <c r="BL84" s="1992" t="s">
        <v>2174</v>
      </c>
      <c r="BM84" s="1992">
        <v>188568500</v>
      </c>
      <c r="BN84" s="1993">
        <v>0</v>
      </c>
    </row>
    <row r="85" spans="2:67">
      <c r="B85" s="152"/>
      <c r="C85" s="152"/>
      <c r="D85" s="153"/>
      <c r="E85" s="153"/>
      <c r="F85" s="154"/>
      <c r="G85" s="152"/>
      <c r="H85" s="152"/>
      <c r="I85" s="152"/>
      <c r="J85" s="152"/>
      <c r="K85" s="155"/>
      <c r="L85" s="156"/>
      <c r="M85" s="157"/>
      <c r="N85" s="283"/>
      <c r="O85" s="1945"/>
      <c r="P85" s="1965" t="s">
        <v>1262</v>
      </c>
      <c r="Q85" s="1965"/>
      <c r="R85" s="1965"/>
      <c r="S85" s="1965"/>
      <c r="T85" s="1965"/>
      <c r="U85" s="1966"/>
      <c r="V85" s="1966"/>
      <c r="W85" s="1966"/>
      <c r="X85" s="1966"/>
      <c r="Y85" s="1966"/>
      <c r="Z85" s="1943"/>
      <c r="AA85" s="1943"/>
      <c r="AB85" s="1943"/>
      <c r="AC85" s="1943"/>
      <c r="AD85" s="1943"/>
      <c r="AE85" s="1943"/>
      <c r="AF85" s="1943"/>
      <c r="AG85" s="1943"/>
      <c r="AH85" s="1943"/>
      <c r="AI85" s="1948" t="s">
        <v>1262</v>
      </c>
      <c r="AJ85" s="1943"/>
      <c r="AK85" s="1943"/>
      <c r="AL85" s="1943"/>
      <c r="AM85" s="1943"/>
      <c r="AN85" s="1943"/>
      <c r="AO85" s="1943"/>
      <c r="AP85" s="1943"/>
      <c r="AQ85" s="1943"/>
      <c r="AR85" s="1943"/>
      <c r="AS85" s="1943"/>
      <c r="AT85" s="1943"/>
      <c r="AU85" s="1943"/>
      <c r="AV85" s="68"/>
      <c r="AW85" s="68"/>
      <c r="AX85" s="68"/>
      <c r="AY85" s="73"/>
      <c r="AZ85" s="73"/>
      <c r="BA85" s="73"/>
      <c r="BB85" s="73"/>
      <c r="BC85" s="73"/>
      <c r="BD85" s="73"/>
      <c r="BE85" s="73"/>
      <c r="BF85" s="73"/>
      <c r="BG85" s="73"/>
      <c r="BH85" s="73"/>
      <c r="BI85" s="73"/>
      <c r="BJ85" s="68"/>
      <c r="BK85" s="159"/>
      <c r="BL85" s="1992" t="s">
        <v>2175</v>
      </c>
      <c r="BM85" s="1992">
        <v>185478000</v>
      </c>
      <c r="BN85" s="1993">
        <v>0</v>
      </c>
      <c r="BO85" s="68"/>
    </row>
    <row r="86" spans="2:67">
      <c r="B86" s="152"/>
      <c r="C86" s="152"/>
      <c r="D86" s="153"/>
      <c r="E86" s="153"/>
      <c r="F86" s="154"/>
      <c r="G86" s="152"/>
      <c r="H86" s="152"/>
      <c r="I86" s="152"/>
      <c r="J86" s="152"/>
      <c r="K86" s="160"/>
      <c r="L86" s="161"/>
      <c r="M86" s="157"/>
      <c r="N86" s="292"/>
      <c r="O86" s="1994"/>
      <c r="P86" s="1994"/>
      <c r="Q86" s="1994"/>
      <c r="R86" s="1994"/>
      <c r="S86" s="1994"/>
      <c r="T86" s="1994"/>
      <c r="U86" s="1995"/>
      <c r="V86" s="1995"/>
      <c r="W86" s="1995"/>
      <c r="X86" s="1995"/>
      <c r="Y86" s="1995"/>
      <c r="Z86" s="1995"/>
      <c r="AA86" s="1996"/>
      <c r="AB86" s="1995"/>
      <c r="AC86" s="1997" t="s">
        <v>1262</v>
      </c>
      <c r="AD86" s="1996"/>
      <c r="AE86" s="1996"/>
      <c r="AF86" s="1996"/>
      <c r="AG86" s="1996"/>
      <c r="AH86" s="1996"/>
      <c r="AI86" s="1996"/>
      <c r="AJ86" s="1995"/>
      <c r="AK86" s="1995"/>
      <c r="AL86" s="1995"/>
      <c r="AM86" s="1995"/>
      <c r="AN86" s="1995"/>
      <c r="AO86" s="1995"/>
      <c r="AP86" s="1995"/>
      <c r="AQ86" s="1995"/>
      <c r="AR86" s="1995"/>
      <c r="AS86" s="1995"/>
      <c r="AT86" s="1995"/>
      <c r="AU86" s="1995"/>
      <c r="AV86" s="68"/>
      <c r="AW86" s="68"/>
      <c r="AX86" s="68"/>
      <c r="AY86" s="73"/>
      <c r="AZ86" s="73"/>
      <c r="BA86" s="73"/>
      <c r="BB86" s="73"/>
      <c r="BC86" s="73"/>
      <c r="BD86" s="73"/>
      <c r="BE86" s="73"/>
      <c r="BF86" s="73"/>
      <c r="BG86" s="73"/>
      <c r="BH86" s="73"/>
      <c r="BI86" s="73"/>
      <c r="BJ86" s="68"/>
      <c r="BK86" s="159"/>
      <c r="BL86" s="1992" t="s">
        <v>2176</v>
      </c>
      <c r="BM86" s="1992">
        <v>190278000</v>
      </c>
      <c r="BN86" s="1993">
        <v>0</v>
      </c>
      <c r="BO86" s="68"/>
    </row>
    <row r="87" spans="2:67">
      <c r="B87" s="152"/>
      <c r="C87" s="152"/>
      <c r="D87" s="153"/>
      <c r="E87" s="153"/>
      <c r="F87" s="154"/>
      <c r="G87" s="152"/>
      <c r="H87" s="152"/>
      <c r="I87" s="152"/>
      <c r="J87" s="152"/>
      <c r="K87" s="160"/>
      <c r="L87" s="161"/>
      <c r="M87" s="157"/>
      <c r="N87" s="162"/>
      <c r="O87" s="162"/>
      <c r="P87" s="163" t="s">
        <v>1262</v>
      </c>
      <c r="Q87" s="163"/>
      <c r="R87" s="163"/>
      <c r="S87" s="163"/>
      <c r="T87" s="163"/>
      <c r="U87" s="164"/>
      <c r="V87" s="164"/>
      <c r="W87" s="164"/>
      <c r="X87" s="164"/>
      <c r="Y87" s="164"/>
      <c r="Z87" s="165"/>
      <c r="AA87" s="165"/>
      <c r="AB87" s="165"/>
      <c r="AC87" s="165"/>
      <c r="AD87" s="165"/>
      <c r="AE87" s="165"/>
      <c r="AF87" s="165"/>
      <c r="AG87" s="165"/>
      <c r="AH87" s="165"/>
      <c r="AI87" s="166" t="s">
        <v>1262</v>
      </c>
      <c r="AJ87" s="165"/>
      <c r="AK87" s="165"/>
      <c r="AL87" s="165"/>
      <c r="AM87" s="165"/>
      <c r="AN87" s="165"/>
      <c r="AO87" s="165"/>
      <c r="AP87" s="165"/>
      <c r="AQ87" s="165"/>
      <c r="AR87" s="165"/>
      <c r="AS87" s="165"/>
      <c r="AT87" s="165"/>
      <c r="AU87" s="165"/>
      <c r="AV87" s="165"/>
      <c r="AW87" s="165"/>
      <c r="AX87" s="165"/>
      <c r="AY87" s="167"/>
      <c r="AZ87" s="165"/>
      <c r="BA87" s="165"/>
      <c r="BB87" s="168" t="s">
        <v>1262</v>
      </c>
      <c r="BC87" s="165"/>
      <c r="BD87" s="165"/>
      <c r="BE87" s="165"/>
      <c r="BF87" s="165"/>
      <c r="BG87" s="165"/>
      <c r="BH87" s="165"/>
      <c r="BI87" s="165"/>
      <c r="BJ87" s="162"/>
      <c r="BK87" s="169"/>
      <c r="BL87" s="3023" t="s">
        <v>502</v>
      </c>
      <c r="BM87" s="3024"/>
      <c r="BN87" s="1998">
        <v>0</v>
      </c>
      <c r="BO87" s="1999" t="b">
        <f>SUM(BN79:BN86)=BN87</f>
        <v>1</v>
      </c>
    </row>
  </sheetData>
  <autoFilter ref="A7:O67"/>
  <mergeCells count="25">
    <mergeCell ref="F78:H78"/>
    <mergeCell ref="BL87:BM87"/>
    <mergeCell ref="D72:E72"/>
    <mergeCell ref="F72:H72"/>
    <mergeCell ref="D73:E73"/>
    <mergeCell ref="F73:H73"/>
    <mergeCell ref="D78:E78"/>
    <mergeCell ref="B70:J70"/>
    <mergeCell ref="D74:E74"/>
    <mergeCell ref="F74:H74"/>
    <mergeCell ref="BL75:BM75"/>
    <mergeCell ref="D77:E77"/>
    <mergeCell ref="F77:H77"/>
    <mergeCell ref="BK6:BM6"/>
    <mergeCell ref="B6:B7"/>
    <mergeCell ref="C6:C7"/>
    <mergeCell ref="D6:E6"/>
    <mergeCell ref="F6:F7"/>
    <mergeCell ref="G6:G7"/>
    <mergeCell ref="H6:H7"/>
    <mergeCell ref="I6:I7"/>
    <mergeCell ref="J6:J7"/>
    <mergeCell ref="K6:K7"/>
    <mergeCell ref="L6:L7"/>
    <mergeCell ref="M6:M7"/>
  </mergeCells>
  <phoneticPr fontId="6" type="noConversion"/>
  <hyperlinks>
    <hyperlink ref="K50" r:id="rId1" display="삼성화재 질권설정계좌(32층)"/>
  </hyperlinks>
  <pageMargins left="0.7" right="0.7" top="0.75" bottom="0.75" header="0.3" footer="0.3"/>
  <pageSetup paperSize="9" scale="43" fitToHeight="0" orientation="portrait" r:id="rId2"/>
  <legacy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A1:AE43"/>
  <sheetViews>
    <sheetView showGridLines="0" view="pageBreakPreview" zoomScale="55" zoomScaleNormal="100" zoomScaleSheetLayoutView="55" workbookViewId="0">
      <selection activeCell="B6" sqref="B6:D7"/>
    </sheetView>
  </sheetViews>
  <sheetFormatPr defaultColWidth="9" defaultRowHeight="15"/>
  <cols>
    <col min="1" max="1" width="1.75" style="1787" customWidth="1"/>
    <col min="2" max="2" width="9" style="1787"/>
    <col min="3" max="3" width="43.25" style="1787" bestFit="1" customWidth="1"/>
    <col min="4" max="4" width="17.75" style="1787" bestFit="1" customWidth="1"/>
    <col min="5" max="5" width="9" style="1787"/>
    <col min="6" max="6" width="17" style="1787" bestFit="1" customWidth="1"/>
    <col min="7" max="30" width="9" style="1787"/>
    <col min="31" max="31" width="3" style="1787" customWidth="1"/>
    <col min="32" max="16384" width="9" style="1787"/>
  </cols>
  <sheetData>
    <row r="1" spans="1:31" ht="17.45" customHeight="1">
      <c r="A1" s="1784"/>
      <c r="B1" s="1785"/>
      <c r="C1" s="1786"/>
      <c r="D1" s="1784"/>
      <c r="E1" s="1784"/>
      <c r="F1" s="1784"/>
      <c r="G1" s="1784"/>
      <c r="H1" s="1784"/>
      <c r="I1" s="1784"/>
      <c r="J1" s="1784"/>
      <c r="K1" s="1784"/>
      <c r="L1" s="1784"/>
      <c r="M1" s="1784"/>
      <c r="N1" s="1784"/>
      <c r="O1" s="1784"/>
      <c r="P1" s="1784"/>
      <c r="Q1" s="1784"/>
      <c r="R1" s="1784"/>
      <c r="S1" s="1784"/>
      <c r="T1" s="1784"/>
      <c r="U1" s="1784"/>
      <c r="V1" s="1784"/>
      <c r="W1" s="1784"/>
      <c r="X1" s="1784"/>
      <c r="Y1" s="1784"/>
      <c r="Z1" s="1784"/>
      <c r="AA1" s="1784"/>
      <c r="AB1" s="1784"/>
      <c r="AC1" s="1784"/>
      <c r="AD1" s="1784"/>
    </row>
    <row r="2" spans="1:31" ht="33" customHeight="1">
      <c r="A2" s="2155"/>
      <c r="B2" s="2116" t="s">
        <v>2045</v>
      </c>
      <c r="C2" s="2156"/>
      <c r="D2" s="2156"/>
      <c r="E2" s="2156"/>
      <c r="F2" s="2156"/>
      <c r="G2" s="2156"/>
      <c r="H2" s="2156"/>
      <c r="I2" s="2156"/>
      <c r="J2" s="2156"/>
      <c r="K2" s="2156"/>
      <c r="L2" s="2156"/>
      <c r="M2" s="2156"/>
      <c r="N2" s="2156"/>
      <c r="O2" s="2156"/>
      <c r="P2" s="2156"/>
      <c r="Q2" s="2156"/>
      <c r="R2" s="2156"/>
      <c r="S2" s="2156"/>
      <c r="T2" s="2156"/>
      <c r="U2" s="2156"/>
      <c r="V2" s="2156"/>
      <c r="W2" s="2156"/>
      <c r="X2" s="2156"/>
      <c r="Y2" s="2156"/>
      <c r="Z2" s="2156"/>
      <c r="AA2" s="2156"/>
      <c r="AB2" s="2156"/>
      <c r="AC2" s="2156"/>
      <c r="AD2" s="2155"/>
      <c r="AE2" s="2157"/>
    </row>
    <row r="3" spans="1:31" ht="16.5">
      <c r="A3" s="1788"/>
      <c r="B3" s="1789"/>
      <c r="C3" s="1790"/>
      <c r="D3" s="1790"/>
      <c r="E3" s="1790"/>
      <c r="F3" s="1790"/>
      <c r="G3" s="1790"/>
      <c r="H3" s="1790"/>
      <c r="I3" s="1790"/>
      <c r="J3" s="1790"/>
      <c r="K3" s="1790"/>
      <c r="L3" s="1790"/>
      <c r="M3" s="1790"/>
      <c r="N3" s="1790"/>
      <c r="O3" s="1790"/>
      <c r="P3" s="1790"/>
      <c r="Q3" s="1790"/>
      <c r="R3" s="1790"/>
      <c r="S3" s="1790"/>
      <c r="T3" s="1790"/>
      <c r="U3" s="1790"/>
      <c r="V3" s="1790"/>
      <c r="W3" s="1790"/>
      <c r="X3" s="1790"/>
      <c r="Y3" s="1790"/>
      <c r="Z3" s="1790"/>
      <c r="AA3" s="1790"/>
      <c r="AB3" s="1790"/>
      <c r="AC3" s="1790"/>
      <c r="AD3" s="1788"/>
    </row>
    <row r="4" spans="1:31" ht="17.25">
      <c r="A4" s="1791"/>
      <c r="B4" s="1800" t="s">
        <v>1424</v>
      </c>
      <c r="C4" s="1792"/>
      <c r="D4" s="1792"/>
      <c r="E4" s="1792"/>
      <c r="F4" s="1792"/>
      <c r="G4" s="1792"/>
      <c r="H4" s="1792"/>
      <c r="I4" s="1792"/>
      <c r="J4" s="1792"/>
      <c r="K4" s="1792"/>
      <c r="L4" s="1792"/>
      <c r="M4" s="1792"/>
      <c r="N4" s="1792"/>
      <c r="O4" s="1792"/>
      <c r="P4" s="1792"/>
      <c r="Q4" s="1792"/>
      <c r="R4" s="1792"/>
      <c r="S4" s="1792"/>
      <c r="T4" s="1792"/>
      <c r="U4" s="1792"/>
      <c r="V4" s="1792"/>
      <c r="W4" s="1792"/>
      <c r="X4" s="1792"/>
      <c r="Y4" s="1792"/>
      <c r="Z4" s="1792"/>
      <c r="AA4" s="1792"/>
      <c r="AB4" s="1792"/>
      <c r="AC4" s="1792"/>
      <c r="AD4" s="1793"/>
    </row>
    <row r="5" spans="1:31">
      <c r="A5" s="1788"/>
      <c r="B5" s="1794"/>
      <c r="C5" s="1794"/>
      <c r="D5" s="1794"/>
      <c r="E5" s="1794"/>
      <c r="F5" s="1795"/>
      <c r="G5" s="1796"/>
      <c r="H5" s="1795"/>
      <c r="I5" s="1796"/>
      <c r="J5" s="1795"/>
      <c r="K5" s="1796"/>
      <c r="L5" s="1795"/>
      <c r="M5" s="1796"/>
      <c r="N5" s="1795"/>
      <c r="O5" s="1796"/>
      <c r="P5" s="1795"/>
      <c r="Q5" s="1795"/>
      <c r="R5" s="1795"/>
      <c r="S5" s="1795"/>
      <c r="T5" s="1795"/>
      <c r="U5" s="1795"/>
      <c r="V5" s="1795"/>
      <c r="W5" s="1795"/>
      <c r="X5" s="1795"/>
      <c r="Y5" s="1795"/>
      <c r="Z5" s="1795"/>
      <c r="AA5" s="1796"/>
      <c r="AB5" s="1795"/>
      <c r="AC5" s="1796"/>
      <c r="AD5" s="1795"/>
    </row>
    <row r="6" spans="1:31" ht="19.899999999999999" customHeight="1">
      <c r="A6" s="1797"/>
      <c r="B6" s="3030" t="s">
        <v>405</v>
      </c>
      <c r="C6" s="3030"/>
      <c r="D6" s="3030"/>
      <c r="E6" s="3030" t="s">
        <v>406</v>
      </c>
      <c r="F6" s="3030" t="s">
        <v>407</v>
      </c>
      <c r="G6" s="3030" t="s">
        <v>1425</v>
      </c>
      <c r="H6" s="3030"/>
      <c r="I6" s="3030" t="s">
        <v>264</v>
      </c>
      <c r="J6" s="3030"/>
      <c r="K6" s="3030" t="s">
        <v>265</v>
      </c>
      <c r="L6" s="3030"/>
      <c r="M6" s="3030" t="s">
        <v>368</v>
      </c>
      <c r="N6" s="3030"/>
      <c r="O6" s="3030" t="s">
        <v>369</v>
      </c>
      <c r="P6" s="3030"/>
      <c r="Q6" s="3030" t="s">
        <v>370</v>
      </c>
      <c r="R6" s="3030"/>
      <c r="S6" s="3030" t="s">
        <v>371</v>
      </c>
      <c r="T6" s="3030"/>
      <c r="U6" s="3030" t="s">
        <v>260</v>
      </c>
      <c r="V6" s="3030"/>
      <c r="W6" s="3030" t="s">
        <v>261</v>
      </c>
      <c r="X6" s="3030"/>
      <c r="Y6" s="3030" t="s">
        <v>372</v>
      </c>
      <c r="Z6" s="3030"/>
      <c r="AA6" s="3030" t="s">
        <v>262</v>
      </c>
      <c r="AB6" s="3030"/>
      <c r="AC6" s="3030" t="s">
        <v>263</v>
      </c>
      <c r="AD6" s="3030"/>
    </row>
    <row r="7" spans="1:31" ht="19.899999999999999" customHeight="1">
      <c r="A7" s="1797"/>
      <c r="B7" s="3030"/>
      <c r="C7" s="3030"/>
      <c r="D7" s="3030"/>
      <c r="E7" s="3030"/>
      <c r="F7" s="3030"/>
      <c r="G7" s="2210" t="s">
        <v>245</v>
      </c>
      <c r="H7" s="2210" t="s">
        <v>408</v>
      </c>
      <c r="I7" s="2210" t="s">
        <v>245</v>
      </c>
      <c r="J7" s="2210" t="s">
        <v>408</v>
      </c>
      <c r="K7" s="2210" t="s">
        <v>245</v>
      </c>
      <c r="L7" s="2210" t="s">
        <v>408</v>
      </c>
      <c r="M7" s="2210" t="s">
        <v>245</v>
      </c>
      <c r="N7" s="2210" t="s">
        <v>408</v>
      </c>
      <c r="O7" s="2210" t="s">
        <v>245</v>
      </c>
      <c r="P7" s="2210" t="s">
        <v>408</v>
      </c>
      <c r="Q7" s="2210" t="s">
        <v>245</v>
      </c>
      <c r="R7" s="2210" t="s">
        <v>408</v>
      </c>
      <c r="S7" s="2210" t="s">
        <v>245</v>
      </c>
      <c r="T7" s="2210" t="s">
        <v>408</v>
      </c>
      <c r="U7" s="2210" t="s">
        <v>245</v>
      </c>
      <c r="V7" s="2210" t="s">
        <v>408</v>
      </c>
      <c r="W7" s="2210" t="s">
        <v>245</v>
      </c>
      <c r="X7" s="2210" t="s">
        <v>408</v>
      </c>
      <c r="Y7" s="2210" t="s">
        <v>245</v>
      </c>
      <c r="Z7" s="2210" t="s">
        <v>408</v>
      </c>
      <c r="AA7" s="2210" t="s">
        <v>245</v>
      </c>
      <c r="AB7" s="2210" t="s">
        <v>408</v>
      </c>
      <c r="AC7" s="2210" t="s">
        <v>245</v>
      </c>
      <c r="AD7" s="2210" t="s">
        <v>408</v>
      </c>
    </row>
    <row r="8" spans="1:31" ht="19.899999999999999" customHeight="1">
      <c r="A8" s="1797"/>
      <c r="B8" s="2211" t="s">
        <v>409</v>
      </c>
      <c r="C8" s="2212"/>
      <c r="D8" s="2208"/>
      <c r="E8" s="2208"/>
      <c r="F8" s="2208"/>
      <c r="G8" s="2209"/>
      <c r="H8" s="2209"/>
      <c r="I8" s="2209"/>
      <c r="J8" s="2209"/>
      <c r="K8" s="2209"/>
      <c r="L8" s="2209"/>
      <c r="M8" s="2209"/>
      <c r="N8" s="2209"/>
      <c r="O8" s="2209"/>
      <c r="P8" s="2209"/>
      <c r="Q8" s="2209"/>
      <c r="R8" s="2209"/>
      <c r="S8" s="2209"/>
      <c r="T8" s="2209"/>
      <c r="U8" s="2209"/>
      <c r="V8" s="2209"/>
      <c r="W8" s="2209"/>
      <c r="X8" s="2209"/>
      <c r="Y8" s="2209"/>
      <c r="Z8" s="2209"/>
      <c r="AA8" s="2209"/>
      <c r="AB8" s="2209"/>
      <c r="AC8" s="2209"/>
      <c r="AD8" s="2217"/>
    </row>
    <row r="9" spans="1:31" ht="19.899999999999999" customHeight="1">
      <c r="A9" s="1798"/>
      <c r="B9" s="2213"/>
      <c r="C9" s="2158" t="s">
        <v>410</v>
      </c>
      <c r="D9" s="2159" t="s">
        <v>519</v>
      </c>
      <c r="E9" s="2160" t="s">
        <v>411</v>
      </c>
      <c r="F9" s="2161" t="s">
        <v>412</v>
      </c>
      <c r="G9" s="2162" t="s">
        <v>413</v>
      </c>
      <c r="H9" s="2163" t="s">
        <v>413</v>
      </c>
      <c r="I9" s="2162" t="s">
        <v>413</v>
      </c>
      <c r="J9" s="2163" t="s">
        <v>413</v>
      </c>
      <c r="K9" s="2162" t="s">
        <v>413</v>
      </c>
      <c r="L9" s="2163" t="s">
        <v>413</v>
      </c>
      <c r="M9" s="2162" t="s">
        <v>413</v>
      </c>
      <c r="N9" s="2163" t="s">
        <v>413</v>
      </c>
      <c r="O9" s="2162" t="s">
        <v>413</v>
      </c>
      <c r="P9" s="2163" t="s">
        <v>413</v>
      </c>
      <c r="Q9" s="2162" t="s">
        <v>413</v>
      </c>
      <c r="R9" s="2163" t="s">
        <v>413</v>
      </c>
      <c r="S9" s="2162" t="s">
        <v>413</v>
      </c>
      <c r="T9" s="2163" t="s">
        <v>413</v>
      </c>
      <c r="U9" s="2162" t="s">
        <v>413</v>
      </c>
      <c r="V9" s="2163"/>
      <c r="W9" s="2162" t="s">
        <v>413</v>
      </c>
      <c r="X9" s="2163"/>
      <c r="Y9" s="2162" t="s">
        <v>413</v>
      </c>
      <c r="Z9" s="2163"/>
      <c r="AA9" s="2162" t="s">
        <v>413</v>
      </c>
      <c r="AB9" s="2163"/>
      <c r="AC9" s="2162" t="s">
        <v>413</v>
      </c>
      <c r="AD9" s="2163"/>
    </row>
    <row r="10" spans="1:31" ht="19.899999999999999" customHeight="1">
      <c r="A10" s="1798"/>
      <c r="B10" s="2213"/>
      <c r="C10" s="2164"/>
      <c r="D10" s="2165" t="s">
        <v>2029</v>
      </c>
      <c r="E10" s="2160" t="s">
        <v>411</v>
      </c>
      <c r="F10" s="2161" t="s">
        <v>412</v>
      </c>
      <c r="G10" s="2162" t="s">
        <v>413</v>
      </c>
      <c r="H10" s="2163" t="s">
        <v>413</v>
      </c>
      <c r="I10" s="2162" t="s">
        <v>413</v>
      </c>
      <c r="J10" s="2163" t="s">
        <v>413</v>
      </c>
      <c r="K10" s="2162" t="s">
        <v>413</v>
      </c>
      <c r="L10" s="2163" t="s">
        <v>413</v>
      </c>
      <c r="M10" s="2162" t="s">
        <v>413</v>
      </c>
      <c r="N10" s="2163" t="s">
        <v>413</v>
      </c>
      <c r="O10" s="2162" t="s">
        <v>413</v>
      </c>
      <c r="P10" s="2163" t="s">
        <v>413</v>
      </c>
      <c r="Q10" s="2162" t="s">
        <v>413</v>
      </c>
      <c r="R10" s="2163" t="s">
        <v>413</v>
      </c>
      <c r="S10" s="2162" t="s">
        <v>413</v>
      </c>
      <c r="T10" s="2163" t="s">
        <v>413</v>
      </c>
      <c r="U10" s="2162" t="s">
        <v>413</v>
      </c>
      <c r="V10" s="2163"/>
      <c r="W10" s="2162" t="s">
        <v>413</v>
      </c>
      <c r="X10" s="2163"/>
      <c r="Y10" s="2162" t="s">
        <v>413</v>
      </c>
      <c r="Z10" s="2163"/>
      <c r="AA10" s="2162" t="s">
        <v>413</v>
      </c>
      <c r="AB10" s="2163"/>
      <c r="AC10" s="2162" t="s">
        <v>413</v>
      </c>
      <c r="AD10" s="2163"/>
    </row>
    <row r="11" spans="1:31" ht="19.899999999999999" customHeight="1">
      <c r="A11" s="1798"/>
      <c r="B11" s="2213"/>
      <c r="C11" s="2158" t="s">
        <v>520</v>
      </c>
      <c r="D11" s="2165"/>
      <c r="E11" s="2160" t="s">
        <v>414</v>
      </c>
      <c r="F11" s="2166" t="s">
        <v>521</v>
      </c>
      <c r="G11" s="2167"/>
      <c r="H11" s="2167"/>
      <c r="I11" s="2167"/>
      <c r="J11" s="2167"/>
      <c r="K11" s="2167"/>
      <c r="L11" s="2167"/>
      <c r="M11" s="2162" t="s">
        <v>413</v>
      </c>
      <c r="N11" s="2163" t="s">
        <v>413</v>
      </c>
      <c r="O11" s="2167"/>
      <c r="P11" s="2163"/>
      <c r="Q11" s="2162"/>
      <c r="R11" s="2168"/>
      <c r="S11" s="2167"/>
      <c r="T11" s="2169"/>
      <c r="U11" s="2167"/>
      <c r="V11" s="2169"/>
      <c r="W11" s="2167"/>
      <c r="X11" s="2169"/>
      <c r="Y11" s="2162"/>
      <c r="Z11" s="2168"/>
      <c r="AA11" s="2162" t="s">
        <v>413</v>
      </c>
      <c r="AB11" s="2163"/>
      <c r="AC11" s="2162"/>
      <c r="AD11" s="2163"/>
    </row>
    <row r="12" spans="1:31" ht="19.899999999999999" customHeight="1">
      <c r="A12" s="1798"/>
      <c r="B12" s="2213"/>
      <c r="C12" s="2158" t="s">
        <v>415</v>
      </c>
      <c r="D12" s="2165"/>
      <c r="E12" s="2160" t="s">
        <v>414</v>
      </c>
      <c r="F12" s="2166" t="s">
        <v>522</v>
      </c>
      <c r="G12" s="2167"/>
      <c r="H12" s="2167"/>
      <c r="I12" s="2167"/>
      <c r="J12" s="2167"/>
      <c r="K12" s="2162"/>
      <c r="L12" s="2167"/>
      <c r="M12" s="2162"/>
      <c r="N12" s="2163"/>
      <c r="O12" s="2162" t="s">
        <v>413</v>
      </c>
      <c r="P12" s="2163" t="s">
        <v>413</v>
      </c>
      <c r="Q12" s="2162"/>
      <c r="R12" s="2163"/>
      <c r="S12" s="2167"/>
      <c r="T12" s="2167"/>
      <c r="U12" s="2167"/>
      <c r="V12" s="2167"/>
      <c r="W12" s="2162"/>
      <c r="X12" s="2162"/>
      <c r="Y12" s="2162"/>
      <c r="Z12" s="2163"/>
      <c r="AA12" s="2162" t="s">
        <v>413</v>
      </c>
      <c r="AB12" s="2163"/>
      <c r="AC12" s="2162"/>
      <c r="AD12" s="2163"/>
    </row>
    <row r="13" spans="1:31" ht="19.899999999999999" customHeight="1">
      <c r="A13" s="1798"/>
      <c r="B13" s="2213"/>
      <c r="C13" s="2158" t="s">
        <v>416</v>
      </c>
      <c r="D13" s="2165"/>
      <c r="E13" s="2160" t="s">
        <v>422</v>
      </c>
      <c r="F13" s="2160" t="s">
        <v>523</v>
      </c>
      <c r="G13" s="2167"/>
      <c r="H13" s="2167"/>
      <c r="I13" s="2162" t="s">
        <v>413</v>
      </c>
      <c r="J13" s="2163" t="s">
        <v>413</v>
      </c>
      <c r="K13" s="2162"/>
      <c r="L13" s="2170"/>
      <c r="M13" s="2162" t="s">
        <v>413</v>
      </c>
      <c r="N13" s="2163" t="s">
        <v>413</v>
      </c>
      <c r="O13" s="2162"/>
      <c r="P13" s="2167"/>
      <c r="Q13" s="2162" t="s">
        <v>413</v>
      </c>
      <c r="R13" s="2163" t="s">
        <v>413</v>
      </c>
      <c r="S13" s="2162"/>
      <c r="T13" s="2163"/>
      <c r="U13" s="2162" t="s">
        <v>413</v>
      </c>
      <c r="V13" s="2163"/>
      <c r="W13" s="2162"/>
      <c r="X13" s="2170"/>
      <c r="Y13" s="2162" t="s">
        <v>413</v>
      </c>
      <c r="Z13" s="2163"/>
      <c r="AA13" s="2162"/>
      <c r="AB13" s="2167"/>
      <c r="AC13" s="2162" t="s">
        <v>413</v>
      </c>
      <c r="AD13" s="2163"/>
    </row>
    <row r="14" spans="1:31" ht="19.899999999999999" customHeight="1">
      <c r="B14" s="2213"/>
      <c r="C14" s="2158" t="s">
        <v>417</v>
      </c>
      <c r="D14" s="2165"/>
      <c r="E14" s="2161" t="s">
        <v>411</v>
      </c>
      <c r="F14" s="2161" t="s">
        <v>412</v>
      </c>
      <c r="G14" s="2162" t="s">
        <v>413</v>
      </c>
      <c r="H14" s="2163" t="s">
        <v>413</v>
      </c>
      <c r="I14" s="2162" t="s">
        <v>413</v>
      </c>
      <c r="J14" s="2163" t="s">
        <v>413</v>
      </c>
      <c r="K14" s="2162" t="s">
        <v>413</v>
      </c>
      <c r="L14" s="2163" t="s">
        <v>413</v>
      </c>
      <c r="M14" s="2162" t="s">
        <v>413</v>
      </c>
      <c r="N14" s="2163" t="s">
        <v>413</v>
      </c>
      <c r="O14" s="2162" t="s">
        <v>413</v>
      </c>
      <c r="P14" s="2163" t="s">
        <v>413</v>
      </c>
      <c r="Q14" s="2162" t="s">
        <v>413</v>
      </c>
      <c r="R14" s="2163" t="s">
        <v>413</v>
      </c>
      <c r="S14" s="2162" t="s">
        <v>413</v>
      </c>
      <c r="T14" s="2163" t="s">
        <v>413</v>
      </c>
      <c r="U14" s="2162" t="s">
        <v>413</v>
      </c>
      <c r="V14" s="2163"/>
      <c r="W14" s="2162" t="s">
        <v>413</v>
      </c>
      <c r="X14" s="2163"/>
      <c r="Y14" s="2162" t="s">
        <v>413</v>
      </c>
      <c r="Z14" s="2163"/>
      <c r="AA14" s="2162" t="s">
        <v>413</v>
      </c>
      <c r="AB14" s="2163"/>
      <c r="AC14" s="2162" t="s">
        <v>413</v>
      </c>
      <c r="AD14" s="2163"/>
    </row>
    <row r="15" spans="1:31" ht="19.899999999999999" customHeight="1">
      <c r="B15" s="2213"/>
      <c r="C15" s="2158" t="s">
        <v>524</v>
      </c>
      <c r="D15" s="2165"/>
      <c r="E15" s="2160" t="s">
        <v>418</v>
      </c>
      <c r="F15" s="2160" t="s">
        <v>265</v>
      </c>
      <c r="G15" s="2167"/>
      <c r="H15" s="2169"/>
      <c r="I15" s="2162"/>
      <c r="J15" s="2163"/>
      <c r="K15" s="2162" t="s">
        <v>413</v>
      </c>
      <c r="L15" s="2163" t="s">
        <v>413</v>
      </c>
      <c r="M15" s="2162"/>
      <c r="N15" s="2163"/>
      <c r="O15" s="2162"/>
      <c r="P15" s="2167"/>
      <c r="Q15" s="2162"/>
      <c r="R15" s="2171"/>
      <c r="S15" s="2167"/>
      <c r="T15" s="2169"/>
      <c r="U15" s="2167"/>
      <c r="V15" s="2167"/>
      <c r="W15" s="2167"/>
      <c r="X15" s="2167"/>
      <c r="Y15" s="2167"/>
      <c r="Z15" s="2167"/>
      <c r="AA15" s="2167"/>
      <c r="AB15" s="2167"/>
      <c r="AC15" s="2167"/>
      <c r="AD15" s="2167"/>
    </row>
    <row r="16" spans="1:31" ht="19.899999999999999" customHeight="1">
      <c r="B16" s="2213"/>
      <c r="C16" s="2158" t="s">
        <v>419</v>
      </c>
      <c r="D16" s="2165"/>
      <c r="E16" s="2160" t="s">
        <v>418</v>
      </c>
      <c r="F16" s="2160" t="s">
        <v>368</v>
      </c>
      <c r="G16" s="2167"/>
      <c r="H16" s="2169"/>
      <c r="I16" s="2167"/>
      <c r="J16" s="2167"/>
      <c r="K16" s="2167"/>
      <c r="L16" s="2167"/>
      <c r="M16" s="2162" t="s">
        <v>413</v>
      </c>
      <c r="N16" s="2163" t="s">
        <v>413</v>
      </c>
      <c r="O16" s="2162"/>
      <c r="P16" s="2167"/>
      <c r="Q16" s="2167"/>
      <c r="R16" s="2167"/>
      <c r="S16" s="2167"/>
      <c r="T16" s="2169"/>
      <c r="U16" s="2167"/>
      <c r="V16" s="2167"/>
      <c r="W16" s="2162"/>
      <c r="X16" s="2167"/>
      <c r="Y16" s="2162"/>
      <c r="Z16" s="2163"/>
      <c r="AA16" s="2167"/>
      <c r="AB16" s="2167"/>
      <c r="AC16" s="2167"/>
      <c r="AD16" s="2167"/>
    </row>
    <row r="17" spans="2:30" ht="19.899999999999999" customHeight="1">
      <c r="B17" s="2213"/>
      <c r="C17" s="2172" t="s">
        <v>420</v>
      </c>
      <c r="D17" s="2173"/>
      <c r="E17" s="2174" t="s">
        <v>525</v>
      </c>
      <c r="F17" s="2174" t="s">
        <v>412</v>
      </c>
      <c r="G17" s="2175" t="s">
        <v>413</v>
      </c>
      <c r="H17" s="2176"/>
      <c r="I17" s="2175" t="s">
        <v>413</v>
      </c>
      <c r="J17" s="2176"/>
      <c r="K17" s="2175" t="s">
        <v>413</v>
      </c>
      <c r="L17" s="2176"/>
      <c r="M17" s="2175" t="s">
        <v>413</v>
      </c>
      <c r="N17" s="2176"/>
      <c r="O17" s="2175" t="s">
        <v>413</v>
      </c>
      <c r="P17" s="2176"/>
      <c r="Q17" s="2175" t="s">
        <v>413</v>
      </c>
      <c r="R17" s="2176"/>
      <c r="S17" s="2175" t="s">
        <v>413</v>
      </c>
      <c r="T17" s="2176"/>
      <c r="U17" s="2175" t="s">
        <v>413</v>
      </c>
      <c r="V17" s="2176"/>
      <c r="W17" s="2175" t="s">
        <v>413</v>
      </c>
      <c r="X17" s="2176"/>
      <c r="Y17" s="2175" t="s">
        <v>413</v>
      </c>
      <c r="Z17" s="2176"/>
      <c r="AA17" s="2175" t="s">
        <v>413</v>
      </c>
      <c r="AB17" s="2176"/>
      <c r="AC17" s="2175" t="s">
        <v>413</v>
      </c>
      <c r="AD17" s="2176"/>
    </row>
    <row r="18" spans="2:30" ht="19.899999999999999" customHeight="1">
      <c r="B18" s="2213"/>
      <c r="C18" s="2158" t="s">
        <v>421</v>
      </c>
      <c r="D18" s="2165"/>
      <c r="E18" s="2160" t="s">
        <v>411</v>
      </c>
      <c r="F18" s="2161" t="s">
        <v>412</v>
      </c>
      <c r="G18" s="2162" t="s">
        <v>413</v>
      </c>
      <c r="H18" s="2163" t="s">
        <v>413</v>
      </c>
      <c r="I18" s="2162" t="s">
        <v>413</v>
      </c>
      <c r="J18" s="2163" t="s">
        <v>413</v>
      </c>
      <c r="K18" s="2162" t="s">
        <v>413</v>
      </c>
      <c r="L18" s="2163" t="s">
        <v>413</v>
      </c>
      <c r="M18" s="2162" t="s">
        <v>413</v>
      </c>
      <c r="N18" s="2163" t="s">
        <v>413</v>
      </c>
      <c r="O18" s="2162" t="s">
        <v>413</v>
      </c>
      <c r="P18" s="2163" t="s">
        <v>413</v>
      </c>
      <c r="Q18" s="2162" t="s">
        <v>413</v>
      </c>
      <c r="R18" s="2163" t="s">
        <v>413</v>
      </c>
      <c r="S18" s="2162" t="s">
        <v>413</v>
      </c>
      <c r="T18" s="2163" t="s">
        <v>413</v>
      </c>
      <c r="U18" s="2162" t="s">
        <v>413</v>
      </c>
      <c r="V18" s="2163"/>
      <c r="W18" s="2162" t="s">
        <v>413</v>
      </c>
      <c r="X18" s="2163"/>
      <c r="Y18" s="2162" t="s">
        <v>413</v>
      </c>
      <c r="Z18" s="2163"/>
      <c r="AA18" s="2162" t="s">
        <v>413</v>
      </c>
      <c r="AB18" s="2163"/>
      <c r="AC18" s="2162" t="s">
        <v>413</v>
      </c>
      <c r="AD18" s="2163"/>
    </row>
    <row r="19" spans="2:30" ht="19.899999999999999" customHeight="1">
      <c r="B19" s="2213"/>
      <c r="C19" s="2158" t="s">
        <v>526</v>
      </c>
      <c r="D19" s="2165"/>
      <c r="E19" s="2160" t="s">
        <v>422</v>
      </c>
      <c r="F19" s="2160" t="s">
        <v>423</v>
      </c>
      <c r="G19" s="2177"/>
      <c r="H19" s="2178"/>
      <c r="I19" s="2167"/>
      <c r="J19" s="2167"/>
      <c r="K19" s="2167"/>
      <c r="L19" s="2167"/>
      <c r="M19" s="2162"/>
      <c r="N19" s="2163"/>
      <c r="O19" s="2162" t="s">
        <v>413</v>
      </c>
      <c r="P19" s="2163" t="s">
        <v>413</v>
      </c>
      <c r="Q19" s="2162" t="s">
        <v>413</v>
      </c>
      <c r="R19" s="2163" t="s">
        <v>413</v>
      </c>
      <c r="S19" s="2162" t="s">
        <v>413</v>
      </c>
      <c r="T19" s="2163" t="s">
        <v>413</v>
      </c>
      <c r="U19" s="2162" t="s">
        <v>413</v>
      </c>
      <c r="V19" s="2163"/>
      <c r="W19" s="2162" t="s">
        <v>413</v>
      </c>
      <c r="X19" s="2163"/>
      <c r="Y19" s="2162" t="s">
        <v>413</v>
      </c>
      <c r="Z19" s="2163"/>
      <c r="AA19" s="2167"/>
      <c r="AB19" s="2167"/>
      <c r="AC19" s="2167"/>
      <c r="AD19" s="2167"/>
    </row>
    <row r="20" spans="2:30" ht="19.899999999999999" customHeight="1">
      <c r="B20" s="2213"/>
      <c r="C20" s="2158" t="s">
        <v>527</v>
      </c>
      <c r="D20" s="2165"/>
      <c r="E20" s="2160" t="s">
        <v>411</v>
      </c>
      <c r="F20" s="2161" t="s">
        <v>412</v>
      </c>
      <c r="G20" s="2162" t="s">
        <v>413</v>
      </c>
      <c r="H20" s="2163" t="s">
        <v>413</v>
      </c>
      <c r="I20" s="2162" t="s">
        <v>413</v>
      </c>
      <c r="J20" s="2163" t="s">
        <v>413</v>
      </c>
      <c r="K20" s="2162" t="s">
        <v>413</v>
      </c>
      <c r="L20" s="2163" t="s">
        <v>413</v>
      </c>
      <c r="M20" s="2162" t="s">
        <v>413</v>
      </c>
      <c r="N20" s="2163" t="s">
        <v>413</v>
      </c>
      <c r="O20" s="2162" t="s">
        <v>413</v>
      </c>
      <c r="P20" s="2163" t="s">
        <v>413</v>
      </c>
      <c r="Q20" s="2162" t="s">
        <v>413</v>
      </c>
      <c r="R20" s="2163" t="s">
        <v>413</v>
      </c>
      <c r="S20" s="2162" t="s">
        <v>413</v>
      </c>
      <c r="T20" s="2163" t="s">
        <v>413</v>
      </c>
      <c r="U20" s="2162" t="s">
        <v>413</v>
      </c>
      <c r="V20" s="2163"/>
      <c r="W20" s="2162" t="s">
        <v>413</v>
      </c>
      <c r="X20" s="2163"/>
      <c r="Y20" s="2162" t="s">
        <v>413</v>
      </c>
      <c r="Z20" s="2163"/>
      <c r="AA20" s="2162" t="s">
        <v>413</v>
      </c>
      <c r="AB20" s="2163"/>
      <c r="AC20" s="2162" t="s">
        <v>413</v>
      </c>
      <c r="AD20" s="2163"/>
    </row>
    <row r="21" spans="2:30" ht="19.899999999999999" customHeight="1">
      <c r="B21" s="2213"/>
      <c r="C21" s="2158" t="s">
        <v>528</v>
      </c>
      <c r="D21" s="2165"/>
      <c r="E21" s="2160" t="s">
        <v>411</v>
      </c>
      <c r="F21" s="2161" t="s">
        <v>412</v>
      </c>
      <c r="G21" s="2162" t="s">
        <v>413</v>
      </c>
      <c r="H21" s="2163" t="s">
        <v>413</v>
      </c>
      <c r="I21" s="2162" t="s">
        <v>413</v>
      </c>
      <c r="J21" s="2163" t="s">
        <v>413</v>
      </c>
      <c r="K21" s="2162" t="s">
        <v>413</v>
      </c>
      <c r="L21" s="2163" t="s">
        <v>413</v>
      </c>
      <c r="M21" s="2162" t="s">
        <v>413</v>
      </c>
      <c r="N21" s="2163" t="s">
        <v>413</v>
      </c>
      <c r="O21" s="2162" t="s">
        <v>413</v>
      </c>
      <c r="P21" s="2163" t="s">
        <v>413</v>
      </c>
      <c r="Q21" s="2162" t="s">
        <v>413</v>
      </c>
      <c r="R21" s="2163" t="s">
        <v>413</v>
      </c>
      <c r="S21" s="2162" t="s">
        <v>413</v>
      </c>
      <c r="T21" s="2163" t="s">
        <v>413</v>
      </c>
      <c r="U21" s="2162" t="s">
        <v>413</v>
      </c>
      <c r="V21" s="2163"/>
      <c r="W21" s="2162" t="s">
        <v>413</v>
      </c>
      <c r="X21" s="2163"/>
      <c r="Y21" s="2162" t="s">
        <v>413</v>
      </c>
      <c r="Z21" s="2163"/>
      <c r="AA21" s="2162" t="s">
        <v>413</v>
      </c>
      <c r="AB21" s="2163"/>
      <c r="AC21" s="2162" t="s">
        <v>413</v>
      </c>
      <c r="AD21" s="2163"/>
    </row>
    <row r="22" spans="2:30" ht="19.899999999999999" customHeight="1">
      <c r="B22" s="2213"/>
      <c r="C22" s="2158" t="s">
        <v>529</v>
      </c>
      <c r="D22" s="2165"/>
      <c r="E22" s="2160" t="s">
        <v>411</v>
      </c>
      <c r="F22" s="2161" t="s">
        <v>412</v>
      </c>
      <c r="G22" s="2162" t="s">
        <v>413</v>
      </c>
      <c r="H22" s="2163" t="s">
        <v>413</v>
      </c>
      <c r="I22" s="2162" t="s">
        <v>413</v>
      </c>
      <c r="J22" s="2163" t="s">
        <v>413</v>
      </c>
      <c r="K22" s="2162" t="s">
        <v>413</v>
      </c>
      <c r="L22" s="2163" t="s">
        <v>413</v>
      </c>
      <c r="M22" s="2162" t="s">
        <v>413</v>
      </c>
      <c r="N22" s="2163" t="s">
        <v>413</v>
      </c>
      <c r="O22" s="2162" t="s">
        <v>413</v>
      </c>
      <c r="P22" s="2163" t="s">
        <v>413</v>
      </c>
      <c r="Q22" s="2162" t="s">
        <v>413</v>
      </c>
      <c r="R22" s="2163" t="s">
        <v>413</v>
      </c>
      <c r="S22" s="2162" t="s">
        <v>413</v>
      </c>
      <c r="T22" s="2163" t="s">
        <v>413</v>
      </c>
      <c r="U22" s="2162" t="s">
        <v>413</v>
      </c>
      <c r="V22" s="2163"/>
      <c r="W22" s="2162" t="s">
        <v>413</v>
      </c>
      <c r="X22" s="2163"/>
      <c r="Y22" s="2162" t="s">
        <v>413</v>
      </c>
      <c r="Z22" s="2163"/>
      <c r="AA22" s="2162" t="s">
        <v>413</v>
      </c>
      <c r="AB22" s="2163"/>
      <c r="AC22" s="2162" t="s">
        <v>413</v>
      </c>
      <c r="AD22" s="2163"/>
    </row>
    <row r="23" spans="2:30" ht="19.899999999999999" customHeight="1">
      <c r="B23" s="2213"/>
      <c r="C23" s="2158" t="s">
        <v>530</v>
      </c>
      <c r="D23" s="2165"/>
      <c r="E23" s="2160" t="s">
        <v>531</v>
      </c>
      <c r="F23" s="2161" t="s">
        <v>532</v>
      </c>
      <c r="G23" s="2162" t="s">
        <v>413</v>
      </c>
      <c r="H23" s="2163" t="s">
        <v>413</v>
      </c>
      <c r="I23" s="2162"/>
      <c r="J23" s="2163"/>
      <c r="K23" s="2162"/>
      <c r="L23" s="2163"/>
      <c r="M23" s="2162" t="s">
        <v>413</v>
      </c>
      <c r="N23" s="2163" t="s">
        <v>413</v>
      </c>
      <c r="O23" s="2162"/>
      <c r="P23" s="2163"/>
      <c r="Q23" s="2162"/>
      <c r="R23" s="2163"/>
      <c r="S23" s="2162" t="s">
        <v>413</v>
      </c>
      <c r="T23" s="2163" t="s">
        <v>413</v>
      </c>
      <c r="U23" s="2162"/>
      <c r="V23" s="2163"/>
      <c r="W23" s="2162"/>
      <c r="X23" s="2167"/>
      <c r="Y23" s="2162" t="s">
        <v>413</v>
      </c>
      <c r="Z23" s="2163"/>
      <c r="AA23" s="2162"/>
      <c r="AB23" s="2163"/>
      <c r="AC23" s="2162"/>
      <c r="AD23" s="2167"/>
    </row>
    <row r="24" spans="2:30" ht="19.899999999999999" customHeight="1">
      <c r="B24" s="2213"/>
      <c r="C24" s="2158" t="s">
        <v>533</v>
      </c>
      <c r="D24" s="2165"/>
      <c r="E24" s="2160" t="s">
        <v>425</v>
      </c>
      <c r="F24" s="2161" t="s">
        <v>534</v>
      </c>
      <c r="G24" s="2162"/>
      <c r="H24" s="2179"/>
      <c r="I24" s="2162"/>
      <c r="J24" s="2163"/>
      <c r="K24" s="2162"/>
      <c r="L24" s="2170"/>
      <c r="M24" s="2162"/>
      <c r="N24" s="2163"/>
      <c r="O24" s="2162"/>
      <c r="P24" s="2163"/>
      <c r="Q24" s="2162"/>
      <c r="R24" s="2163"/>
      <c r="S24" s="2162"/>
      <c r="T24" s="2180"/>
      <c r="U24" s="2162"/>
      <c r="V24" s="2167"/>
      <c r="W24" s="2162"/>
      <c r="X24" s="2167"/>
      <c r="Y24" s="2162"/>
      <c r="Z24" s="2167"/>
      <c r="AA24" s="2162"/>
      <c r="AB24" s="2171"/>
      <c r="AC24" s="2162"/>
      <c r="AD24" s="2167"/>
    </row>
    <row r="25" spans="2:30" ht="19.899999999999999" customHeight="1">
      <c r="B25" s="2213"/>
      <c r="C25" s="2158" t="s">
        <v>535</v>
      </c>
      <c r="D25" s="2165"/>
      <c r="E25" s="2160" t="s">
        <v>425</v>
      </c>
      <c r="F25" s="2161" t="s">
        <v>534</v>
      </c>
      <c r="G25" s="2162"/>
      <c r="H25" s="2179"/>
      <c r="I25" s="2162"/>
      <c r="J25" s="2163"/>
      <c r="K25" s="2162"/>
      <c r="L25" s="2170"/>
      <c r="M25" s="2162"/>
      <c r="N25" s="2163"/>
      <c r="O25" s="2162"/>
      <c r="P25" s="2163"/>
      <c r="Q25" s="2162"/>
      <c r="R25" s="2163"/>
      <c r="S25" s="2162"/>
      <c r="T25" s="2180"/>
      <c r="U25" s="2162"/>
      <c r="V25" s="2167"/>
      <c r="W25" s="2162"/>
      <c r="X25" s="2167"/>
      <c r="Y25" s="2162"/>
      <c r="Z25" s="2167"/>
      <c r="AA25" s="2162"/>
      <c r="AB25" s="2171"/>
      <c r="AC25" s="2162"/>
      <c r="AD25" s="2167"/>
    </row>
    <row r="26" spans="2:30" ht="19.899999999999999" customHeight="1">
      <c r="B26" s="2213"/>
      <c r="C26" s="2172" t="s">
        <v>536</v>
      </c>
      <c r="D26" s="2181"/>
      <c r="E26" s="2174" t="s">
        <v>411</v>
      </c>
      <c r="F26" s="2182" t="s">
        <v>412</v>
      </c>
      <c r="G26" s="2175" t="s">
        <v>413</v>
      </c>
      <c r="H26" s="2176" t="s">
        <v>413</v>
      </c>
      <c r="I26" s="2175" t="s">
        <v>413</v>
      </c>
      <c r="J26" s="2176" t="s">
        <v>413</v>
      </c>
      <c r="K26" s="2175" t="s">
        <v>413</v>
      </c>
      <c r="L26" s="2176" t="s">
        <v>413</v>
      </c>
      <c r="M26" s="2175" t="s">
        <v>413</v>
      </c>
      <c r="N26" s="2176" t="s">
        <v>413</v>
      </c>
      <c r="O26" s="2175" t="s">
        <v>413</v>
      </c>
      <c r="P26" s="2176" t="s">
        <v>413</v>
      </c>
      <c r="Q26" s="2175" t="s">
        <v>413</v>
      </c>
      <c r="R26" s="2176" t="s">
        <v>413</v>
      </c>
      <c r="S26" s="2175" t="s">
        <v>413</v>
      </c>
      <c r="T26" s="2176" t="s">
        <v>413</v>
      </c>
      <c r="U26" s="2175" t="s">
        <v>413</v>
      </c>
      <c r="V26" s="2176"/>
      <c r="W26" s="2175" t="s">
        <v>413</v>
      </c>
      <c r="X26" s="2176"/>
      <c r="Y26" s="2175" t="s">
        <v>413</v>
      </c>
      <c r="Z26" s="2176"/>
      <c r="AA26" s="2175" t="s">
        <v>413</v>
      </c>
      <c r="AB26" s="2176"/>
      <c r="AC26" s="2175" t="s">
        <v>413</v>
      </c>
      <c r="AD26" s="2176"/>
    </row>
    <row r="27" spans="2:30" ht="19.899999999999999" customHeight="1">
      <c r="B27" s="2213"/>
      <c r="C27" s="2158" t="s">
        <v>537</v>
      </c>
      <c r="D27" s="2165"/>
      <c r="E27" s="2160" t="s">
        <v>418</v>
      </c>
      <c r="F27" s="2161" t="s">
        <v>169</v>
      </c>
      <c r="G27" s="2162"/>
      <c r="H27" s="2179"/>
      <c r="I27" s="2162"/>
      <c r="J27" s="2170"/>
      <c r="K27" s="2162"/>
      <c r="L27" s="2170"/>
      <c r="M27" s="2162"/>
      <c r="N27" s="2183"/>
      <c r="O27" s="2162"/>
      <c r="P27" s="2183"/>
      <c r="Q27" s="2162"/>
      <c r="R27" s="2183"/>
      <c r="S27" s="2162"/>
      <c r="T27" s="2180"/>
      <c r="U27" s="2162"/>
      <c r="V27" s="2167"/>
      <c r="W27" s="2162"/>
      <c r="X27" s="2167"/>
      <c r="Y27" s="2162"/>
      <c r="Z27" s="2167"/>
      <c r="AA27" s="2162"/>
      <c r="AB27" s="2163"/>
      <c r="AC27" s="2162"/>
      <c r="AD27" s="2167"/>
    </row>
    <row r="28" spans="2:30" ht="19.899999999999999" customHeight="1">
      <c r="B28" s="2214" t="s">
        <v>424</v>
      </c>
      <c r="C28" s="2184"/>
      <c r="D28" s="2185"/>
      <c r="E28" s="2186"/>
      <c r="F28" s="2186"/>
      <c r="G28" s="2186"/>
      <c r="H28" s="2187"/>
      <c r="I28" s="2186"/>
      <c r="J28" s="2188"/>
      <c r="K28" s="2186"/>
      <c r="L28" s="2188"/>
      <c r="M28" s="2186"/>
      <c r="N28" s="2188"/>
      <c r="O28" s="2186"/>
      <c r="P28" s="2189"/>
      <c r="Q28" s="2186"/>
      <c r="R28" s="2188"/>
      <c r="S28" s="2186"/>
      <c r="T28" s="2187"/>
      <c r="U28" s="2186"/>
      <c r="V28" s="2188"/>
      <c r="W28" s="2186"/>
      <c r="X28" s="2190"/>
      <c r="Y28" s="2186"/>
      <c r="Z28" s="2188"/>
      <c r="AA28" s="2186"/>
      <c r="AB28" s="2189"/>
      <c r="AC28" s="2186"/>
      <c r="AD28" s="2190"/>
    </row>
    <row r="29" spans="2:30" ht="19.899999999999999" customHeight="1">
      <c r="B29" s="2215"/>
      <c r="C29" s="2191" t="s">
        <v>538</v>
      </c>
      <c r="D29" s="2192" t="s">
        <v>539</v>
      </c>
      <c r="E29" s="2162" t="s">
        <v>418</v>
      </c>
      <c r="F29" s="2162" t="s">
        <v>370</v>
      </c>
      <c r="G29" s="2162"/>
      <c r="H29" s="2171"/>
      <c r="I29" s="2162"/>
      <c r="J29" s="2171"/>
      <c r="K29" s="2162"/>
      <c r="L29" s="2163"/>
      <c r="M29" s="2162"/>
      <c r="N29" s="2163"/>
      <c r="O29" s="2162"/>
      <c r="P29" s="2163"/>
      <c r="Q29" s="2162"/>
      <c r="R29" s="2163"/>
      <c r="S29" s="2162" t="s">
        <v>413</v>
      </c>
      <c r="T29" s="2163" t="s">
        <v>413</v>
      </c>
      <c r="U29" s="2162"/>
      <c r="V29" s="2171"/>
      <c r="W29" s="2162"/>
      <c r="X29" s="2171"/>
      <c r="Y29" s="2162"/>
      <c r="Z29" s="2171"/>
      <c r="AA29" s="2162"/>
      <c r="AB29" s="2171"/>
      <c r="AC29" s="2162"/>
      <c r="AD29" s="2171"/>
    </row>
    <row r="30" spans="2:30" ht="19.899999999999999" customHeight="1">
      <c r="B30" s="2215"/>
      <c r="C30" s="2191" t="s">
        <v>540</v>
      </c>
      <c r="D30" s="2192"/>
      <c r="E30" s="2193" t="s">
        <v>414</v>
      </c>
      <c r="F30" s="2162" t="s">
        <v>541</v>
      </c>
      <c r="G30" s="2167"/>
      <c r="H30" s="2167"/>
      <c r="I30" s="2162"/>
      <c r="J30" s="2167"/>
      <c r="K30" s="2162"/>
      <c r="L30" s="2167"/>
      <c r="M30" s="2167"/>
      <c r="N30" s="2167"/>
      <c r="O30" s="2162"/>
      <c r="P30" s="2163"/>
      <c r="Q30" s="2162" t="s">
        <v>413</v>
      </c>
      <c r="R30" s="2163" t="s">
        <v>413</v>
      </c>
      <c r="S30" s="2167"/>
      <c r="T30" s="2169"/>
      <c r="U30" s="2167"/>
      <c r="V30" s="2167"/>
      <c r="W30" s="2162"/>
      <c r="X30" s="2167"/>
      <c r="Y30" s="2167"/>
      <c r="Z30" s="2167"/>
      <c r="AA30" s="2162"/>
      <c r="AB30" s="2163"/>
      <c r="AC30" s="2162" t="s">
        <v>413</v>
      </c>
      <c r="AD30" s="2163"/>
    </row>
    <row r="31" spans="2:30" ht="19.899999999999999" customHeight="1">
      <c r="B31" s="2215"/>
      <c r="C31" s="2194" t="s">
        <v>542</v>
      </c>
      <c r="D31" s="2195" t="s">
        <v>2212</v>
      </c>
      <c r="E31" s="2196" t="s">
        <v>2213</v>
      </c>
      <c r="F31" s="2197" t="s">
        <v>263</v>
      </c>
      <c r="G31" s="2198"/>
      <c r="H31" s="2198"/>
      <c r="I31" s="2197"/>
      <c r="J31" s="2198"/>
      <c r="K31" s="2197"/>
      <c r="L31" s="2198"/>
      <c r="M31" s="2198"/>
      <c r="N31" s="2198"/>
      <c r="O31" s="2197"/>
      <c r="P31" s="2199"/>
      <c r="Q31" s="2197"/>
      <c r="R31" s="2199"/>
      <c r="S31" s="2198"/>
      <c r="T31" s="2200"/>
      <c r="U31" s="2198"/>
      <c r="V31" s="2198"/>
      <c r="W31" s="2197"/>
      <c r="X31" s="2198"/>
      <c r="Y31" s="2198"/>
      <c r="Z31" s="2198"/>
      <c r="AA31" s="2197"/>
      <c r="AB31" s="2199"/>
      <c r="AC31" s="2197"/>
      <c r="AD31" s="2199"/>
    </row>
    <row r="32" spans="2:30" ht="19.899999999999999" customHeight="1">
      <c r="B32" s="2215"/>
      <c r="C32" s="2191" t="s">
        <v>543</v>
      </c>
      <c r="D32" s="2201"/>
      <c r="E32" s="2162" t="s">
        <v>414</v>
      </c>
      <c r="F32" s="2162" t="s">
        <v>522</v>
      </c>
      <c r="G32" s="2162"/>
      <c r="H32" s="2163"/>
      <c r="I32" s="2162"/>
      <c r="J32" s="2163"/>
      <c r="K32" s="2167"/>
      <c r="L32" s="2167"/>
      <c r="M32" s="2162"/>
      <c r="N32" s="2163"/>
      <c r="O32" s="2162" t="s">
        <v>413</v>
      </c>
      <c r="P32" s="2163" t="s">
        <v>413</v>
      </c>
      <c r="Q32" s="2162"/>
      <c r="R32" s="2163"/>
      <c r="S32" s="2162"/>
      <c r="T32" s="2163"/>
      <c r="U32" s="2167"/>
      <c r="V32" s="2163"/>
      <c r="W32" s="2167"/>
      <c r="X32" s="2167"/>
      <c r="Y32" s="2162"/>
      <c r="Z32" s="2163"/>
      <c r="AA32" s="2162" t="s">
        <v>413</v>
      </c>
      <c r="AB32" s="2163"/>
      <c r="AC32" s="2162"/>
      <c r="AD32" s="2163"/>
    </row>
    <row r="33" spans="2:30" ht="19.899999999999999" customHeight="1">
      <c r="B33" s="2215"/>
      <c r="C33" s="2191" t="s">
        <v>544</v>
      </c>
      <c r="D33" s="2192"/>
      <c r="E33" s="2162" t="s">
        <v>418</v>
      </c>
      <c r="F33" s="2162" t="s">
        <v>369</v>
      </c>
      <c r="G33" s="2167"/>
      <c r="H33" s="2167"/>
      <c r="I33" s="2167"/>
      <c r="J33" s="2167"/>
      <c r="K33" s="2167"/>
      <c r="L33" s="2167"/>
      <c r="M33" s="2162"/>
      <c r="N33" s="2163"/>
      <c r="O33" s="2162" t="s">
        <v>413</v>
      </c>
      <c r="P33" s="2163" t="s">
        <v>413</v>
      </c>
      <c r="Q33" s="2162"/>
      <c r="R33" s="2167"/>
      <c r="S33" s="2167"/>
      <c r="T33" s="2167"/>
      <c r="U33" s="2167"/>
      <c r="V33" s="2167"/>
      <c r="W33" s="2162"/>
      <c r="X33" s="2163"/>
      <c r="Y33" s="2193"/>
      <c r="Z33" s="2163"/>
      <c r="AA33" s="2162"/>
      <c r="AB33" s="2169"/>
      <c r="AC33" s="2162"/>
      <c r="AD33" s="2171"/>
    </row>
    <row r="34" spans="2:30" ht="19.899999999999999" customHeight="1">
      <c r="B34" s="2215"/>
      <c r="C34" s="2191" t="s">
        <v>545</v>
      </c>
      <c r="D34" s="2192"/>
      <c r="E34" s="2162" t="s">
        <v>414</v>
      </c>
      <c r="F34" s="2162" t="s">
        <v>2214</v>
      </c>
      <c r="G34" s="2167"/>
      <c r="H34" s="2167"/>
      <c r="I34" s="2167"/>
      <c r="J34" s="2167"/>
      <c r="K34" s="2162" t="s">
        <v>413</v>
      </c>
      <c r="L34" s="2163" t="s">
        <v>413</v>
      </c>
      <c r="M34" s="2162"/>
      <c r="N34" s="2163"/>
      <c r="O34" s="2162"/>
      <c r="P34" s="2163"/>
      <c r="Q34" s="2162"/>
      <c r="R34" s="2167"/>
      <c r="S34" s="2167"/>
      <c r="T34" s="2167"/>
      <c r="U34" s="2167"/>
      <c r="V34" s="2167"/>
      <c r="W34" s="2162"/>
      <c r="X34" s="2163"/>
      <c r="Y34" s="2193"/>
      <c r="Z34" s="2163"/>
      <c r="AA34" s="2162" t="s">
        <v>413</v>
      </c>
      <c r="AB34" s="2169"/>
      <c r="AC34" s="2162"/>
      <c r="AD34" s="2163"/>
    </row>
    <row r="35" spans="2:30" ht="19.899999999999999" customHeight="1">
      <c r="B35" s="2215"/>
      <c r="C35" s="2191" t="s">
        <v>546</v>
      </c>
      <c r="D35" s="2192"/>
      <c r="E35" s="2162" t="s">
        <v>418</v>
      </c>
      <c r="F35" s="2162" t="s">
        <v>265</v>
      </c>
      <c r="G35" s="2167"/>
      <c r="H35" s="2167"/>
      <c r="I35" s="2167"/>
      <c r="J35" s="2167"/>
      <c r="K35" s="2162" t="s">
        <v>413</v>
      </c>
      <c r="L35" s="2163" t="s">
        <v>413</v>
      </c>
      <c r="M35" s="2162"/>
      <c r="N35" s="2163"/>
      <c r="O35" s="2163"/>
      <c r="P35" s="2167"/>
      <c r="Q35" s="2162"/>
      <c r="R35" s="2163"/>
      <c r="S35" s="2167"/>
      <c r="T35" s="2163"/>
      <c r="U35" s="2167"/>
      <c r="V35" s="2167"/>
      <c r="W35" s="2167"/>
      <c r="X35" s="2167"/>
      <c r="Y35" s="2167"/>
      <c r="Z35" s="2167"/>
      <c r="AA35" s="2167"/>
      <c r="AB35" s="2167"/>
      <c r="AC35" s="2167"/>
      <c r="AD35" s="2167"/>
    </row>
    <row r="36" spans="2:30" ht="19.899999999999999" customHeight="1">
      <c r="B36" s="2215"/>
      <c r="C36" s="2191" t="s">
        <v>547</v>
      </c>
      <c r="D36" s="2192"/>
      <c r="E36" s="2162" t="s">
        <v>418</v>
      </c>
      <c r="F36" s="2162" t="s">
        <v>370</v>
      </c>
      <c r="G36" s="2167"/>
      <c r="H36" s="2167"/>
      <c r="I36" s="2167"/>
      <c r="J36" s="2167"/>
      <c r="K36" s="2167"/>
      <c r="L36" s="2163"/>
      <c r="M36" s="2162"/>
      <c r="N36" s="2163"/>
      <c r="O36" s="2163"/>
      <c r="P36" s="2167"/>
      <c r="Q36" s="2162" t="s">
        <v>413</v>
      </c>
      <c r="R36" s="2163" t="s">
        <v>413</v>
      </c>
      <c r="S36" s="2167"/>
      <c r="T36" s="2163"/>
      <c r="U36" s="2167"/>
      <c r="V36" s="2167"/>
      <c r="W36" s="2167"/>
      <c r="X36" s="2167"/>
      <c r="Y36" s="2167"/>
      <c r="Z36" s="2167"/>
      <c r="AA36" s="2167"/>
      <c r="AB36" s="2167"/>
      <c r="AC36" s="2167"/>
      <c r="AD36" s="2167"/>
    </row>
    <row r="37" spans="2:30" ht="19.899999999999999" customHeight="1">
      <c r="B37" s="2215"/>
      <c r="C37" s="2191" t="s">
        <v>548</v>
      </c>
      <c r="D37" s="2192"/>
      <c r="E37" s="2162" t="s">
        <v>418</v>
      </c>
      <c r="F37" s="2162" t="s">
        <v>368</v>
      </c>
      <c r="G37" s="2167"/>
      <c r="H37" s="2167"/>
      <c r="I37" s="2167"/>
      <c r="J37" s="2167"/>
      <c r="K37" s="2167"/>
      <c r="L37" s="2163"/>
      <c r="M37" s="2162" t="s">
        <v>413</v>
      </c>
      <c r="N37" s="2163" t="s">
        <v>413</v>
      </c>
      <c r="O37" s="2162"/>
      <c r="P37" s="2170"/>
      <c r="Q37" s="2162"/>
      <c r="R37" s="2167"/>
      <c r="S37" s="2162"/>
      <c r="T37" s="2167"/>
      <c r="U37" s="2162"/>
      <c r="V37" s="2167"/>
      <c r="W37" s="2162"/>
      <c r="X37" s="2171"/>
      <c r="Y37" s="2162"/>
      <c r="Z37" s="2163"/>
      <c r="AA37" s="2167"/>
      <c r="AB37" s="2167"/>
      <c r="AC37" s="2167"/>
      <c r="AD37" s="2167"/>
    </row>
    <row r="38" spans="2:30" ht="19.899999999999999" customHeight="1">
      <c r="B38" s="2215"/>
      <c r="C38" s="2191" t="s">
        <v>549</v>
      </c>
      <c r="D38" s="2192"/>
      <c r="E38" s="2162" t="s">
        <v>418</v>
      </c>
      <c r="F38" s="2162" t="s">
        <v>550</v>
      </c>
      <c r="G38" s="2167"/>
      <c r="H38" s="2167"/>
      <c r="I38" s="2162"/>
      <c r="J38" s="2163"/>
      <c r="K38" s="2167"/>
      <c r="L38" s="2163"/>
      <c r="M38" s="2162"/>
      <c r="N38" s="2163"/>
      <c r="O38" s="2162"/>
      <c r="P38" s="2163"/>
      <c r="Q38" s="2162" t="s">
        <v>413</v>
      </c>
      <c r="R38" s="2163" t="s">
        <v>413</v>
      </c>
      <c r="S38" s="2162"/>
      <c r="T38" s="2167"/>
      <c r="U38" s="2162"/>
      <c r="V38" s="2167"/>
      <c r="W38" s="2162"/>
      <c r="X38" s="2171"/>
      <c r="Y38" s="2162"/>
      <c r="Z38" s="2163"/>
      <c r="AA38" s="2167"/>
      <c r="AB38" s="2167"/>
      <c r="AC38" s="2167"/>
      <c r="AD38" s="2167"/>
    </row>
    <row r="39" spans="2:30" ht="19.899999999999999" customHeight="1">
      <c r="B39" s="2215"/>
      <c r="C39" s="2191" t="s">
        <v>551</v>
      </c>
      <c r="D39" s="2202"/>
      <c r="E39" s="2162" t="s">
        <v>425</v>
      </c>
      <c r="F39" s="2203" t="s">
        <v>2215</v>
      </c>
      <c r="G39" s="2167"/>
      <c r="H39" s="2167"/>
      <c r="I39" s="2167"/>
      <c r="J39" s="2167"/>
      <c r="K39" s="2167"/>
      <c r="L39" s="2163"/>
      <c r="M39" s="2162"/>
      <c r="N39" s="2167"/>
      <c r="O39" s="2162"/>
      <c r="P39" s="2163"/>
      <c r="Q39" s="2162"/>
      <c r="R39" s="2167"/>
      <c r="S39" s="2162"/>
      <c r="T39" s="2167"/>
      <c r="U39" s="2162"/>
      <c r="V39" s="2167"/>
      <c r="W39" s="2162"/>
      <c r="X39" s="2163"/>
      <c r="Y39" s="2162"/>
      <c r="Z39" s="2163"/>
      <c r="AA39" s="2167"/>
      <c r="AB39" s="2167"/>
      <c r="AC39" s="2167"/>
      <c r="AD39" s="2167"/>
    </row>
    <row r="40" spans="2:30" ht="19.899999999999999" customHeight="1">
      <c r="B40" s="2215"/>
      <c r="C40" s="2191" t="s">
        <v>552</v>
      </c>
      <c r="D40" s="2202"/>
      <c r="E40" s="2162" t="s">
        <v>426</v>
      </c>
      <c r="F40" s="2203" t="s">
        <v>2216</v>
      </c>
      <c r="G40" s="2204"/>
      <c r="H40" s="2205"/>
      <c r="I40" s="2204"/>
      <c r="J40" s="2205"/>
      <c r="K40" s="2162"/>
      <c r="L40" s="2163"/>
      <c r="M40" s="2204"/>
      <c r="N40" s="2205"/>
      <c r="O40" s="2204"/>
      <c r="P40" s="2205"/>
      <c r="Q40" s="2205"/>
      <c r="R40" s="2205"/>
      <c r="S40" s="2205"/>
      <c r="T40" s="2205"/>
      <c r="U40" s="2205"/>
      <c r="V40" s="2205"/>
      <c r="W40" s="2205"/>
      <c r="X40" s="2205"/>
      <c r="Y40" s="2205"/>
      <c r="Z40" s="2205"/>
      <c r="AA40" s="2204"/>
      <c r="AB40" s="2205"/>
      <c r="AC40" s="2204"/>
      <c r="AD40" s="2205"/>
    </row>
    <row r="41" spans="2:30" ht="19.899999999999999" customHeight="1">
      <c r="B41" s="2215"/>
      <c r="C41" s="2191" t="s">
        <v>553</v>
      </c>
      <c r="D41" s="2206"/>
      <c r="E41" s="2162" t="s">
        <v>426</v>
      </c>
      <c r="F41" s="2162" t="s">
        <v>262</v>
      </c>
      <c r="G41" s="2162"/>
      <c r="H41" s="2171"/>
      <c r="I41" s="2162"/>
      <c r="J41" s="2171"/>
      <c r="K41" s="2162"/>
      <c r="L41" s="2163"/>
      <c r="M41" s="2162"/>
      <c r="N41" s="2163"/>
      <c r="O41" s="2162"/>
      <c r="P41" s="2163"/>
      <c r="Q41" s="2162"/>
      <c r="R41" s="2163"/>
      <c r="S41" s="2162"/>
      <c r="T41" s="2207"/>
      <c r="U41" s="2162"/>
      <c r="V41" s="2171"/>
      <c r="W41" s="2162"/>
      <c r="X41" s="2171"/>
      <c r="Y41" s="2162"/>
      <c r="Z41" s="2171"/>
      <c r="AA41" s="2162" t="s">
        <v>413</v>
      </c>
      <c r="AB41" s="2163"/>
      <c r="AC41" s="2162"/>
      <c r="AD41" s="2171"/>
    </row>
    <row r="42" spans="2:30" ht="19.899999999999999" customHeight="1">
      <c r="B42" s="2216"/>
      <c r="C42" s="2191" t="s">
        <v>2217</v>
      </c>
      <c r="D42" s="2192"/>
      <c r="E42" s="2162" t="s">
        <v>418</v>
      </c>
      <c r="F42" s="2162" t="s">
        <v>265</v>
      </c>
      <c r="G42" s="2162"/>
      <c r="H42" s="2171"/>
      <c r="I42" s="2162"/>
      <c r="J42" s="2171"/>
      <c r="K42" s="2162" t="s">
        <v>413</v>
      </c>
      <c r="L42" s="2163" t="s">
        <v>413</v>
      </c>
      <c r="M42" s="2162"/>
      <c r="N42" s="2163"/>
      <c r="O42" s="2162"/>
      <c r="P42" s="2163"/>
      <c r="Q42" s="2162"/>
      <c r="R42" s="2163"/>
      <c r="S42" s="2162"/>
      <c r="T42" s="2207"/>
      <c r="U42" s="2162"/>
      <c r="V42" s="2171"/>
      <c r="W42" s="2162"/>
      <c r="X42" s="2171"/>
      <c r="Y42" s="2162"/>
      <c r="Z42" s="2163"/>
      <c r="AA42" s="2162" t="s">
        <v>413</v>
      </c>
      <c r="AB42" s="2171"/>
      <c r="AC42" s="2162"/>
      <c r="AD42" s="2163"/>
    </row>
    <row r="43" spans="2:30">
      <c r="L43" s="1799"/>
    </row>
  </sheetData>
  <mergeCells count="15">
    <mergeCell ref="Y6:Z6"/>
    <mergeCell ref="AA6:AB6"/>
    <mergeCell ref="AC6:AD6"/>
    <mergeCell ref="M6:N6"/>
    <mergeCell ref="O6:P6"/>
    <mergeCell ref="Q6:R6"/>
    <mergeCell ref="S6:T6"/>
    <mergeCell ref="U6:V6"/>
    <mergeCell ref="W6:X6"/>
    <mergeCell ref="K6:L6"/>
    <mergeCell ref="B6:D7"/>
    <mergeCell ref="E6:E7"/>
    <mergeCell ref="F6:F7"/>
    <mergeCell ref="G6:H6"/>
    <mergeCell ref="I6:J6"/>
  </mergeCells>
  <phoneticPr fontId="6" type="noConversion"/>
  <pageMargins left="0.7" right="0.7" top="0.75" bottom="0.75" header="0.3" footer="0.3"/>
  <pageSetup paperSize="9" scale="38" fitToHeight="0" orientation="landscape" r:id="rId1"/>
  <legacy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81"/>
  <sheetViews>
    <sheetView showGridLines="0" view="pageBreakPreview" zoomScale="70" zoomScaleNormal="100" zoomScaleSheetLayoutView="70" workbookViewId="0">
      <selection activeCell="B2" sqref="B2"/>
    </sheetView>
  </sheetViews>
  <sheetFormatPr defaultColWidth="10" defaultRowHeight="15"/>
  <cols>
    <col min="1" max="1" width="1.625" style="1807" customWidth="1"/>
    <col min="2" max="2" width="7.5" style="1807" customWidth="1"/>
    <col min="3" max="3" width="15.25" style="1807" customWidth="1"/>
    <col min="4" max="4" width="34.25" style="1807" customWidth="1"/>
    <col min="5" max="7" width="19.75" style="1807" bestFit="1" customWidth="1"/>
    <col min="8" max="8" width="1.875" style="1809" customWidth="1"/>
    <col min="9" max="9" width="12.5" style="1809" customWidth="1"/>
    <col min="10" max="10" width="12.875" style="1809" customWidth="1"/>
    <col min="11" max="11" width="16.125" style="1809" bestFit="1" customWidth="1"/>
    <col min="12" max="12" width="15.75" style="1809" bestFit="1" customWidth="1"/>
    <col min="13" max="13" width="27.625" style="1809" customWidth="1"/>
    <col min="14" max="14" width="21.5" style="1809" customWidth="1"/>
    <col min="15" max="15" width="15.75" style="1809" bestFit="1" customWidth="1"/>
    <col min="16" max="17" width="12.625" style="1809" bestFit="1" customWidth="1"/>
    <col min="18" max="16384" width="10" style="1809"/>
  </cols>
  <sheetData>
    <row r="1" spans="1:10" s="958" customFormat="1"/>
    <row r="2" spans="1:10" s="926" customFormat="1" ht="31.15" customHeight="1">
      <c r="A2" s="1823"/>
      <c r="B2" s="2117" t="s">
        <v>2046</v>
      </c>
      <c r="C2" s="1823"/>
      <c r="D2" s="1823"/>
      <c r="E2" s="1823"/>
      <c r="F2" s="1823"/>
      <c r="G2" s="1823"/>
      <c r="H2" s="1823"/>
      <c r="J2" s="1824" t="s">
        <v>2053</v>
      </c>
    </row>
    <row r="3" spans="1:10" s="1803" customFormat="1">
      <c r="A3" s="1802"/>
      <c r="B3" s="1802"/>
      <c r="C3" s="1802"/>
      <c r="D3" s="1802"/>
      <c r="E3" s="1802"/>
      <c r="F3" s="1802"/>
      <c r="G3" s="1802"/>
    </row>
    <row r="4" spans="1:10" s="1805" customFormat="1">
      <c r="A4" s="1804"/>
      <c r="B4" s="1805" t="s">
        <v>1426</v>
      </c>
      <c r="F4" s="1806"/>
      <c r="G4" s="1806"/>
    </row>
    <row r="5" spans="1:10">
      <c r="A5" s="1802"/>
      <c r="G5" s="1808" t="s">
        <v>427</v>
      </c>
    </row>
    <row r="6" spans="1:10" ht="22.9" customHeight="1">
      <c r="B6" s="460" t="s">
        <v>2223</v>
      </c>
      <c r="C6" s="460" t="s">
        <v>429</v>
      </c>
      <c r="D6" s="460" t="s">
        <v>430</v>
      </c>
      <c r="E6" s="460" t="s">
        <v>2224</v>
      </c>
      <c r="F6" s="460" t="s">
        <v>2225</v>
      </c>
      <c r="G6" s="460" t="s">
        <v>1427</v>
      </c>
    </row>
    <row r="7" spans="1:10" hidden="1">
      <c r="B7" s="2218">
        <v>1</v>
      </c>
      <c r="C7" s="2219">
        <v>43039</v>
      </c>
      <c r="D7" s="2219" t="s">
        <v>433</v>
      </c>
      <c r="E7" s="2220">
        <v>682539684</v>
      </c>
      <c r="F7" s="2220">
        <v>1581167287</v>
      </c>
      <c r="G7" s="2221">
        <f t="shared" ref="G7:G14" si="0">E7+F7</f>
        <v>2263706971</v>
      </c>
    </row>
    <row r="8" spans="1:10" hidden="1">
      <c r="B8" s="2218">
        <v>2</v>
      </c>
      <c r="C8" s="2219">
        <v>43056</v>
      </c>
      <c r="D8" s="2219" t="s">
        <v>1428</v>
      </c>
      <c r="E8" s="2220">
        <v>13944640</v>
      </c>
      <c r="F8" s="2220">
        <v>32039077</v>
      </c>
      <c r="G8" s="2221">
        <f t="shared" si="0"/>
        <v>45983717</v>
      </c>
    </row>
    <row r="9" spans="1:10" hidden="1">
      <c r="B9" s="2218">
        <v>3</v>
      </c>
      <c r="C9" s="2219">
        <v>43087</v>
      </c>
      <c r="D9" s="2219" t="s">
        <v>434</v>
      </c>
      <c r="E9" s="2222">
        <v>13944640</v>
      </c>
      <c r="F9" s="2222">
        <v>32039077</v>
      </c>
      <c r="G9" s="2221">
        <f t="shared" si="0"/>
        <v>45983717</v>
      </c>
    </row>
    <row r="10" spans="1:10" hidden="1">
      <c r="B10" s="2218">
        <v>4</v>
      </c>
      <c r="C10" s="2223" t="s">
        <v>1429</v>
      </c>
      <c r="D10" s="2219" t="s">
        <v>434</v>
      </c>
      <c r="E10" s="2222">
        <v>13944640</v>
      </c>
      <c r="F10" s="2222">
        <v>32039077</v>
      </c>
      <c r="G10" s="2221">
        <f t="shared" si="0"/>
        <v>45983717</v>
      </c>
    </row>
    <row r="11" spans="1:10" hidden="1">
      <c r="B11" s="2218">
        <v>5</v>
      </c>
      <c r="C11" s="2224">
        <v>43150</v>
      </c>
      <c r="D11" s="2219" t="s">
        <v>1428</v>
      </c>
      <c r="E11" s="2222">
        <v>13944640</v>
      </c>
      <c r="F11" s="2222">
        <v>32039077</v>
      </c>
      <c r="G11" s="2221">
        <f t="shared" si="0"/>
        <v>45983717</v>
      </c>
      <c r="H11" s="1810"/>
      <c r="I11" s="1810"/>
    </row>
    <row r="12" spans="1:10" hidden="1">
      <c r="B12" s="2218">
        <v>6</v>
      </c>
      <c r="C12" s="2224">
        <v>43178</v>
      </c>
      <c r="D12" s="2219" t="s">
        <v>1428</v>
      </c>
      <c r="E12" s="2222">
        <v>13944640</v>
      </c>
      <c r="F12" s="2222">
        <v>32039077</v>
      </c>
      <c r="G12" s="2221">
        <f t="shared" si="0"/>
        <v>45983717</v>
      </c>
    </row>
    <row r="13" spans="1:10" hidden="1">
      <c r="B13" s="2218">
        <v>7</v>
      </c>
      <c r="C13" s="2224">
        <v>43207</v>
      </c>
      <c r="D13" s="2219" t="s">
        <v>1428</v>
      </c>
      <c r="E13" s="2222">
        <v>13944640</v>
      </c>
      <c r="F13" s="2222">
        <v>32039077</v>
      </c>
      <c r="G13" s="2221">
        <f t="shared" si="0"/>
        <v>45983717</v>
      </c>
    </row>
    <row r="14" spans="1:10" hidden="1">
      <c r="B14" s="2218">
        <v>8</v>
      </c>
      <c r="C14" s="2224">
        <v>43237</v>
      </c>
      <c r="D14" s="2219" t="s">
        <v>434</v>
      </c>
      <c r="E14" s="2222">
        <v>13944640</v>
      </c>
      <c r="F14" s="2222">
        <v>32039077</v>
      </c>
      <c r="G14" s="2221">
        <f t="shared" si="0"/>
        <v>45983717</v>
      </c>
    </row>
    <row r="15" spans="1:10" hidden="1">
      <c r="B15" s="2218">
        <v>9</v>
      </c>
      <c r="C15" s="2224">
        <v>43269</v>
      </c>
      <c r="D15" s="2219" t="s">
        <v>435</v>
      </c>
      <c r="E15" s="2222">
        <v>13944640</v>
      </c>
      <c r="F15" s="2222">
        <v>32039077</v>
      </c>
      <c r="G15" s="2221">
        <v>45983717</v>
      </c>
    </row>
    <row r="16" spans="1:10" hidden="1">
      <c r="B16" s="2218">
        <v>10</v>
      </c>
      <c r="C16" s="2224">
        <v>43298</v>
      </c>
      <c r="D16" s="2219" t="s">
        <v>435</v>
      </c>
      <c r="E16" s="2222">
        <v>13944640</v>
      </c>
      <c r="F16" s="2222">
        <v>32039077</v>
      </c>
      <c r="G16" s="2221">
        <v>45983717</v>
      </c>
    </row>
    <row r="17" spans="2:13" hidden="1">
      <c r="B17" s="2218">
        <v>11</v>
      </c>
      <c r="C17" s="2224">
        <v>43329</v>
      </c>
      <c r="D17" s="2219" t="s">
        <v>1428</v>
      </c>
      <c r="E17" s="2222">
        <v>13944640</v>
      </c>
      <c r="F17" s="2222">
        <v>32039077</v>
      </c>
      <c r="G17" s="2221">
        <f t="shared" ref="G17:G29" si="1">E17+F17</f>
        <v>45983717</v>
      </c>
    </row>
    <row r="18" spans="2:13" hidden="1">
      <c r="B18" s="2218">
        <v>12</v>
      </c>
      <c r="C18" s="2224">
        <v>43360</v>
      </c>
      <c r="D18" s="2219" t="s">
        <v>434</v>
      </c>
      <c r="E18" s="2222">
        <v>13944640</v>
      </c>
      <c r="F18" s="2222">
        <v>32039077</v>
      </c>
      <c r="G18" s="2221">
        <f t="shared" si="1"/>
        <v>45983717</v>
      </c>
    </row>
    <row r="19" spans="2:13" hidden="1">
      <c r="B19" s="2218">
        <v>13</v>
      </c>
      <c r="C19" s="2224">
        <v>43390</v>
      </c>
      <c r="D19" s="2219" t="s">
        <v>434</v>
      </c>
      <c r="E19" s="2222">
        <v>13944640</v>
      </c>
      <c r="F19" s="2222">
        <v>32039077</v>
      </c>
      <c r="G19" s="2221">
        <f t="shared" si="1"/>
        <v>45983717</v>
      </c>
    </row>
    <row r="20" spans="2:13" hidden="1">
      <c r="B20" s="2218">
        <v>14</v>
      </c>
      <c r="C20" s="2224">
        <v>43423</v>
      </c>
      <c r="D20" s="2219" t="s">
        <v>434</v>
      </c>
      <c r="E20" s="2222">
        <v>13944640</v>
      </c>
      <c r="F20" s="2222">
        <v>32039077</v>
      </c>
      <c r="G20" s="2221">
        <f t="shared" si="1"/>
        <v>45983717</v>
      </c>
    </row>
    <row r="21" spans="2:13" hidden="1">
      <c r="B21" s="2218">
        <v>15</v>
      </c>
      <c r="C21" s="2224">
        <v>43451</v>
      </c>
      <c r="D21" s="2219" t="s">
        <v>434</v>
      </c>
      <c r="E21" s="2222">
        <v>13944640</v>
      </c>
      <c r="F21" s="2222">
        <v>32039077</v>
      </c>
      <c r="G21" s="2221">
        <f t="shared" si="1"/>
        <v>45983717</v>
      </c>
    </row>
    <row r="22" spans="2:13" hidden="1">
      <c r="B22" s="2218">
        <v>16</v>
      </c>
      <c r="C22" s="2224">
        <v>43482</v>
      </c>
      <c r="D22" s="2219" t="s">
        <v>434</v>
      </c>
      <c r="E22" s="2222">
        <v>13944640</v>
      </c>
      <c r="F22" s="2222">
        <v>32039077</v>
      </c>
      <c r="G22" s="2221">
        <f>E22+F22</f>
        <v>45983717</v>
      </c>
    </row>
    <row r="23" spans="2:13" hidden="1">
      <c r="B23" s="2218">
        <v>17</v>
      </c>
      <c r="C23" s="2224">
        <v>43513</v>
      </c>
      <c r="D23" s="2219" t="s">
        <v>1428</v>
      </c>
      <c r="E23" s="2222">
        <v>13944640</v>
      </c>
      <c r="F23" s="2222">
        <v>32039077</v>
      </c>
      <c r="G23" s="2221">
        <f>E23+F23</f>
        <v>45983717</v>
      </c>
    </row>
    <row r="24" spans="2:13" hidden="1">
      <c r="B24" s="2218">
        <v>18</v>
      </c>
      <c r="C24" s="2224">
        <v>43542</v>
      </c>
      <c r="D24" s="2219" t="s">
        <v>434</v>
      </c>
      <c r="E24" s="2222">
        <v>13944640</v>
      </c>
      <c r="F24" s="2222">
        <v>32039077</v>
      </c>
      <c r="G24" s="2221">
        <f>E24+F24</f>
        <v>45983717</v>
      </c>
    </row>
    <row r="25" spans="2:13" hidden="1">
      <c r="B25" s="2218">
        <v>19</v>
      </c>
      <c r="C25" s="2224">
        <v>43572</v>
      </c>
      <c r="D25" s="2219" t="s">
        <v>434</v>
      </c>
      <c r="E25" s="2222">
        <v>13944640</v>
      </c>
      <c r="F25" s="2222">
        <v>32039077</v>
      </c>
      <c r="G25" s="2221">
        <f>E25+F25</f>
        <v>45983717</v>
      </c>
    </row>
    <row r="26" spans="2:13" hidden="1">
      <c r="B26" s="2218">
        <v>20</v>
      </c>
      <c r="C26" s="2224">
        <v>43602</v>
      </c>
      <c r="D26" s="2219" t="s">
        <v>1430</v>
      </c>
      <c r="E26" s="2222">
        <v>13944640</v>
      </c>
      <c r="F26" s="2222">
        <v>32039077</v>
      </c>
      <c r="G26" s="2221">
        <f t="shared" si="1"/>
        <v>45983717</v>
      </c>
      <c r="M26" s="1811"/>
    </row>
    <row r="27" spans="2:13" hidden="1">
      <c r="B27" s="2218">
        <v>21</v>
      </c>
      <c r="C27" s="2224">
        <v>43633</v>
      </c>
      <c r="D27" s="2219" t="s">
        <v>434</v>
      </c>
      <c r="E27" s="2222">
        <v>13944640</v>
      </c>
      <c r="F27" s="2222">
        <v>32039077</v>
      </c>
      <c r="G27" s="2221">
        <f>E27+F27</f>
        <v>45983717</v>
      </c>
      <c r="M27" s="1811"/>
    </row>
    <row r="28" spans="2:13" hidden="1">
      <c r="B28" s="2218">
        <v>22</v>
      </c>
      <c r="C28" s="2224">
        <v>43663</v>
      </c>
      <c r="D28" s="2219" t="s">
        <v>434</v>
      </c>
      <c r="E28" s="2222">
        <v>13944640</v>
      </c>
      <c r="F28" s="2222">
        <v>32039077</v>
      </c>
      <c r="G28" s="2221">
        <f t="shared" si="1"/>
        <v>45983717</v>
      </c>
      <c r="M28" s="1811"/>
    </row>
    <row r="29" spans="2:13" hidden="1">
      <c r="B29" s="2218">
        <v>23</v>
      </c>
      <c r="C29" s="2224">
        <v>43696</v>
      </c>
      <c r="D29" s="2219" t="s">
        <v>1430</v>
      </c>
      <c r="E29" s="2222">
        <v>13944640</v>
      </c>
      <c r="F29" s="2222">
        <v>32039077</v>
      </c>
      <c r="G29" s="2221">
        <f t="shared" si="1"/>
        <v>45983717</v>
      </c>
      <c r="M29" s="1811"/>
    </row>
    <row r="30" spans="2:13" hidden="1">
      <c r="B30" s="2218">
        <v>23</v>
      </c>
      <c r="C30" s="2224">
        <v>43725</v>
      </c>
      <c r="D30" s="2219" t="s">
        <v>435</v>
      </c>
      <c r="E30" s="2222">
        <v>13944640</v>
      </c>
      <c r="F30" s="2222">
        <v>32039077</v>
      </c>
      <c r="G30" s="2221">
        <v>45983717</v>
      </c>
      <c r="M30" s="1810"/>
    </row>
    <row r="31" spans="2:13" hidden="1">
      <c r="B31" s="2218">
        <v>24</v>
      </c>
      <c r="C31" s="2224">
        <v>43755</v>
      </c>
      <c r="D31" s="2219" t="s">
        <v>435</v>
      </c>
      <c r="E31" s="2222">
        <v>13944640</v>
      </c>
      <c r="F31" s="2222">
        <v>31866264</v>
      </c>
      <c r="G31" s="2221">
        <v>45810904</v>
      </c>
      <c r="M31" s="1810"/>
    </row>
    <row r="32" spans="2:13" hidden="1">
      <c r="B32" s="2218">
        <v>25</v>
      </c>
      <c r="C32" s="2224">
        <v>43787</v>
      </c>
      <c r="D32" s="2219" t="s">
        <v>1428</v>
      </c>
      <c r="E32" s="2222">
        <v>13944640</v>
      </c>
      <c r="F32" s="2222">
        <v>31866264</v>
      </c>
      <c r="G32" s="2221">
        <f t="shared" ref="G32:G85" si="2">E32+F32</f>
        <v>45810904</v>
      </c>
      <c r="M32" s="1810"/>
    </row>
    <row r="33" spans="2:7" hidden="1">
      <c r="B33" s="2218">
        <v>26</v>
      </c>
      <c r="C33" s="2224">
        <v>43816</v>
      </c>
      <c r="D33" s="2219" t="s">
        <v>434</v>
      </c>
      <c r="E33" s="2222">
        <v>13944640</v>
      </c>
      <c r="F33" s="2222">
        <v>31866264</v>
      </c>
      <c r="G33" s="2221">
        <f t="shared" si="2"/>
        <v>45810904</v>
      </c>
    </row>
    <row r="34" spans="2:7" hidden="1">
      <c r="B34" s="2218">
        <v>27</v>
      </c>
      <c r="C34" s="2224">
        <v>43847</v>
      </c>
      <c r="D34" s="2219" t="s">
        <v>434</v>
      </c>
      <c r="E34" s="2222">
        <v>13944640</v>
      </c>
      <c r="F34" s="2222">
        <v>31866264</v>
      </c>
      <c r="G34" s="2221">
        <f t="shared" si="2"/>
        <v>45810904</v>
      </c>
    </row>
    <row r="35" spans="2:7" hidden="1">
      <c r="B35" s="2218">
        <v>28</v>
      </c>
      <c r="C35" s="2224">
        <v>43878</v>
      </c>
      <c r="D35" s="2219" t="s">
        <v>434</v>
      </c>
      <c r="E35" s="2222">
        <v>13944640</v>
      </c>
      <c r="F35" s="2222">
        <v>31866264</v>
      </c>
      <c r="G35" s="2221">
        <f t="shared" si="2"/>
        <v>45810904</v>
      </c>
    </row>
    <row r="36" spans="2:7" hidden="1">
      <c r="B36" s="2218">
        <v>29</v>
      </c>
      <c r="C36" s="2224">
        <v>43907</v>
      </c>
      <c r="D36" s="2219" t="s">
        <v>434</v>
      </c>
      <c r="E36" s="2222">
        <v>13944640</v>
      </c>
      <c r="F36" s="2222">
        <v>31866264</v>
      </c>
      <c r="G36" s="2221">
        <f t="shared" si="2"/>
        <v>45810904</v>
      </c>
    </row>
    <row r="37" spans="2:7" hidden="1">
      <c r="B37" s="2218">
        <v>30</v>
      </c>
      <c r="C37" s="2224">
        <v>43938</v>
      </c>
      <c r="D37" s="2219" t="s">
        <v>1430</v>
      </c>
      <c r="E37" s="2222">
        <v>13944640</v>
      </c>
      <c r="F37" s="2222">
        <v>31866264</v>
      </c>
      <c r="G37" s="2221">
        <f t="shared" si="2"/>
        <v>45810904</v>
      </c>
    </row>
    <row r="38" spans="2:7" hidden="1">
      <c r="B38" s="2218">
        <v>31</v>
      </c>
      <c r="C38" s="2224">
        <v>43968</v>
      </c>
      <c r="D38" s="2219" t="s">
        <v>1430</v>
      </c>
      <c r="E38" s="2222">
        <v>13944640</v>
      </c>
      <c r="F38" s="2222">
        <v>31866264</v>
      </c>
      <c r="G38" s="2221">
        <f t="shared" si="2"/>
        <v>45810904</v>
      </c>
    </row>
    <row r="39" spans="2:7" hidden="1">
      <c r="B39" s="2218">
        <v>32</v>
      </c>
      <c r="C39" s="2224">
        <v>43999</v>
      </c>
      <c r="D39" s="2219" t="s">
        <v>434</v>
      </c>
      <c r="E39" s="2222">
        <v>13944640</v>
      </c>
      <c r="F39" s="2222">
        <v>31866264</v>
      </c>
      <c r="G39" s="2221">
        <f t="shared" si="2"/>
        <v>45810904</v>
      </c>
    </row>
    <row r="40" spans="2:7" hidden="1">
      <c r="B40" s="2218">
        <v>33</v>
      </c>
      <c r="C40" s="2224">
        <v>44029</v>
      </c>
      <c r="D40" s="2219" t="s">
        <v>434</v>
      </c>
      <c r="E40" s="2222">
        <v>13944640</v>
      </c>
      <c r="F40" s="2222">
        <v>31866264</v>
      </c>
      <c r="G40" s="2221">
        <f t="shared" si="2"/>
        <v>45810904</v>
      </c>
    </row>
    <row r="41" spans="2:7" hidden="1">
      <c r="B41" s="2218">
        <v>34</v>
      </c>
      <c r="C41" s="2224">
        <v>44060</v>
      </c>
      <c r="D41" s="2219" t="s">
        <v>434</v>
      </c>
      <c r="E41" s="2222">
        <v>13944640</v>
      </c>
      <c r="F41" s="2222">
        <v>31866264</v>
      </c>
      <c r="G41" s="2221">
        <f t="shared" si="2"/>
        <v>45810904</v>
      </c>
    </row>
    <row r="42" spans="2:7" hidden="1">
      <c r="B42" s="2218">
        <v>35</v>
      </c>
      <c r="C42" s="2224">
        <v>44091</v>
      </c>
      <c r="D42" s="2219" t="s">
        <v>436</v>
      </c>
      <c r="E42" s="2222">
        <v>13944640</v>
      </c>
      <c r="F42" s="2222">
        <v>31866264</v>
      </c>
      <c r="G42" s="2221">
        <f t="shared" si="2"/>
        <v>45810904</v>
      </c>
    </row>
    <row r="43" spans="2:7" hidden="1">
      <c r="B43" s="2218">
        <v>36</v>
      </c>
      <c r="C43" s="2224">
        <v>44121</v>
      </c>
      <c r="D43" s="2219" t="s">
        <v>436</v>
      </c>
      <c r="E43" s="2222">
        <v>13944640</v>
      </c>
      <c r="F43" s="2222">
        <v>31866264</v>
      </c>
      <c r="G43" s="2221">
        <f t="shared" si="2"/>
        <v>45810904</v>
      </c>
    </row>
    <row r="44" spans="2:7" hidden="1">
      <c r="B44" s="2218">
        <v>37</v>
      </c>
      <c r="C44" s="2224">
        <v>44152</v>
      </c>
      <c r="D44" s="2219" t="s">
        <v>436</v>
      </c>
      <c r="E44" s="2222">
        <v>13944640</v>
      </c>
      <c r="F44" s="2222">
        <v>31866264</v>
      </c>
      <c r="G44" s="2221">
        <f t="shared" si="2"/>
        <v>45810904</v>
      </c>
    </row>
    <row r="45" spans="2:7" hidden="1">
      <c r="B45" s="2218">
        <v>38</v>
      </c>
      <c r="C45" s="2224">
        <v>44182</v>
      </c>
      <c r="D45" s="2219" t="s">
        <v>436</v>
      </c>
      <c r="E45" s="2222">
        <v>13944640</v>
      </c>
      <c r="F45" s="2222">
        <v>31866264</v>
      </c>
      <c r="G45" s="2221">
        <f t="shared" si="2"/>
        <v>45810904</v>
      </c>
    </row>
    <row r="46" spans="2:7" hidden="1">
      <c r="B46" s="2218">
        <v>39</v>
      </c>
      <c r="C46" s="2224">
        <v>44213</v>
      </c>
      <c r="D46" s="2219" t="s">
        <v>436</v>
      </c>
      <c r="E46" s="2222">
        <v>13944640</v>
      </c>
      <c r="F46" s="2222">
        <v>31866264</v>
      </c>
      <c r="G46" s="2221">
        <f t="shared" si="2"/>
        <v>45810904</v>
      </c>
    </row>
    <row r="47" spans="2:7" hidden="1">
      <c r="B47" s="2218">
        <v>40</v>
      </c>
      <c r="C47" s="2224">
        <v>44244</v>
      </c>
      <c r="D47" s="2219" t="s">
        <v>436</v>
      </c>
      <c r="E47" s="2222">
        <v>13944640</v>
      </c>
      <c r="F47" s="2222">
        <v>31866264</v>
      </c>
      <c r="G47" s="2221">
        <f t="shared" si="2"/>
        <v>45810904</v>
      </c>
    </row>
    <row r="48" spans="2:7" hidden="1">
      <c r="B48" s="2218">
        <v>41</v>
      </c>
      <c r="C48" s="2224">
        <v>44272</v>
      </c>
      <c r="D48" s="2219" t="s">
        <v>436</v>
      </c>
      <c r="E48" s="2222">
        <v>13944640</v>
      </c>
      <c r="F48" s="2222">
        <v>31866264</v>
      </c>
      <c r="G48" s="2221">
        <f t="shared" si="2"/>
        <v>45810904</v>
      </c>
    </row>
    <row r="49" spans="2:11" hidden="1">
      <c r="B49" s="2218">
        <v>42</v>
      </c>
      <c r="C49" s="2224">
        <v>44303</v>
      </c>
      <c r="D49" s="2219" t="s">
        <v>436</v>
      </c>
      <c r="E49" s="2222">
        <v>13944640</v>
      </c>
      <c r="F49" s="2222">
        <v>31866264</v>
      </c>
      <c r="G49" s="2221">
        <f t="shared" si="2"/>
        <v>45810904</v>
      </c>
    </row>
    <row r="50" spans="2:11" hidden="1">
      <c r="B50" s="2218">
        <v>43</v>
      </c>
      <c r="C50" s="2224">
        <v>44333</v>
      </c>
      <c r="D50" s="2219" t="s">
        <v>436</v>
      </c>
      <c r="E50" s="2222">
        <v>13944640</v>
      </c>
      <c r="F50" s="2222">
        <v>31866264</v>
      </c>
      <c r="G50" s="2221">
        <f t="shared" si="2"/>
        <v>45810904</v>
      </c>
    </row>
    <row r="51" spans="2:11" hidden="1">
      <c r="B51" s="2218">
        <v>44</v>
      </c>
      <c r="C51" s="2224">
        <v>44364</v>
      </c>
      <c r="D51" s="2219" t="s">
        <v>436</v>
      </c>
      <c r="E51" s="2222">
        <v>13944640</v>
      </c>
      <c r="F51" s="2222">
        <v>31866264</v>
      </c>
      <c r="G51" s="2221">
        <f t="shared" si="2"/>
        <v>45810904</v>
      </c>
    </row>
    <row r="52" spans="2:11" hidden="1">
      <c r="B52" s="2218">
        <v>45</v>
      </c>
      <c r="C52" s="2224">
        <v>44394</v>
      </c>
      <c r="D52" s="2219" t="s">
        <v>436</v>
      </c>
      <c r="E52" s="2222">
        <v>13944640</v>
      </c>
      <c r="F52" s="2222">
        <v>31866264</v>
      </c>
      <c r="G52" s="2221">
        <f t="shared" si="2"/>
        <v>45810904</v>
      </c>
    </row>
    <row r="53" spans="2:11" hidden="1">
      <c r="B53" s="2218">
        <v>46</v>
      </c>
      <c r="C53" s="2224">
        <v>44425</v>
      </c>
      <c r="D53" s="2219" t="s">
        <v>436</v>
      </c>
      <c r="E53" s="2222">
        <v>13944640</v>
      </c>
      <c r="F53" s="2222">
        <v>31866264</v>
      </c>
      <c r="G53" s="2221">
        <f t="shared" si="2"/>
        <v>45810904</v>
      </c>
    </row>
    <row r="54" spans="2:11" hidden="1">
      <c r="B54" s="2218">
        <v>47</v>
      </c>
      <c r="C54" s="2224">
        <v>44456</v>
      </c>
      <c r="D54" s="2219" t="s">
        <v>436</v>
      </c>
      <c r="E54" s="2222">
        <v>13944640</v>
      </c>
      <c r="F54" s="2222">
        <v>31866264</v>
      </c>
      <c r="G54" s="2221">
        <f t="shared" si="2"/>
        <v>45810904</v>
      </c>
    </row>
    <row r="55" spans="2:11" hidden="1">
      <c r="B55" s="2218">
        <v>48</v>
      </c>
      <c r="C55" s="2224">
        <v>44486</v>
      </c>
      <c r="D55" s="2219" t="s">
        <v>436</v>
      </c>
      <c r="E55" s="2222">
        <v>13944640</v>
      </c>
      <c r="F55" s="2222">
        <v>31866264</v>
      </c>
      <c r="G55" s="2221">
        <f t="shared" si="2"/>
        <v>45810904</v>
      </c>
      <c r="K55" s="1811"/>
    </row>
    <row r="56" spans="2:11" hidden="1">
      <c r="B56" s="2218">
        <v>49</v>
      </c>
      <c r="C56" s="2224">
        <v>44517</v>
      </c>
      <c r="D56" s="2219" t="s">
        <v>436</v>
      </c>
      <c r="E56" s="2222">
        <v>13944640</v>
      </c>
      <c r="F56" s="2222">
        <v>31866264</v>
      </c>
      <c r="G56" s="2221">
        <f t="shared" si="2"/>
        <v>45810904</v>
      </c>
    </row>
    <row r="57" spans="2:11" hidden="1">
      <c r="B57" s="2218">
        <v>50</v>
      </c>
      <c r="C57" s="2224">
        <v>44547</v>
      </c>
      <c r="D57" s="2219" t="s">
        <v>1431</v>
      </c>
      <c r="E57" s="2222">
        <v>13944640</v>
      </c>
      <c r="F57" s="2222">
        <v>31866264</v>
      </c>
      <c r="G57" s="2221">
        <f t="shared" si="2"/>
        <v>45810904</v>
      </c>
    </row>
    <row r="58" spans="2:11">
      <c r="B58" s="2218">
        <v>51</v>
      </c>
      <c r="C58" s="2224">
        <v>44578</v>
      </c>
      <c r="D58" s="2219" t="s">
        <v>436</v>
      </c>
      <c r="E58" s="2222">
        <v>13944640</v>
      </c>
      <c r="F58" s="2222">
        <v>31866264</v>
      </c>
      <c r="G58" s="2221">
        <f t="shared" si="2"/>
        <v>45810904</v>
      </c>
    </row>
    <row r="59" spans="2:11">
      <c r="B59" s="2218">
        <v>52</v>
      </c>
      <c r="C59" s="2224">
        <v>44609</v>
      </c>
      <c r="D59" s="2219" t="s">
        <v>436</v>
      </c>
      <c r="E59" s="2222">
        <v>13944640</v>
      </c>
      <c r="F59" s="2222">
        <v>31866264</v>
      </c>
      <c r="G59" s="2221">
        <f t="shared" si="2"/>
        <v>45810904</v>
      </c>
    </row>
    <row r="60" spans="2:11">
      <c r="B60" s="2218">
        <v>53</v>
      </c>
      <c r="C60" s="2224">
        <v>44637</v>
      </c>
      <c r="D60" s="2219" t="s">
        <v>436</v>
      </c>
      <c r="E60" s="2222">
        <v>13944640</v>
      </c>
      <c r="F60" s="2222">
        <v>31866264</v>
      </c>
      <c r="G60" s="2221">
        <f t="shared" si="2"/>
        <v>45810904</v>
      </c>
    </row>
    <row r="61" spans="2:11">
      <c r="B61" s="2218">
        <v>54</v>
      </c>
      <c r="C61" s="2224">
        <v>44668</v>
      </c>
      <c r="D61" s="2219" t="s">
        <v>436</v>
      </c>
      <c r="E61" s="2222">
        <v>13944640</v>
      </c>
      <c r="F61" s="2222">
        <v>31866264</v>
      </c>
      <c r="G61" s="2221">
        <f t="shared" si="2"/>
        <v>45810904</v>
      </c>
    </row>
    <row r="62" spans="2:11">
      <c r="B62" s="2218">
        <v>55</v>
      </c>
      <c r="C62" s="2224">
        <v>44698</v>
      </c>
      <c r="D62" s="2219" t="s">
        <v>436</v>
      </c>
      <c r="E62" s="2222">
        <v>13944640</v>
      </c>
      <c r="F62" s="2222">
        <v>31866264</v>
      </c>
      <c r="G62" s="2221">
        <f t="shared" si="2"/>
        <v>45810904</v>
      </c>
    </row>
    <row r="63" spans="2:11">
      <c r="B63" s="2218">
        <v>56</v>
      </c>
      <c r="C63" s="2224">
        <v>44729</v>
      </c>
      <c r="D63" s="2219" t="s">
        <v>436</v>
      </c>
      <c r="E63" s="2222">
        <v>13944640</v>
      </c>
      <c r="F63" s="2222">
        <v>31866264</v>
      </c>
      <c r="G63" s="2221">
        <f t="shared" si="2"/>
        <v>45810904</v>
      </c>
    </row>
    <row r="64" spans="2:11">
      <c r="B64" s="2218">
        <v>57</v>
      </c>
      <c r="C64" s="2224">
        <v>44759</v>
      </c>
      <c r="D64" s="2219" t="s">
        <v>436</v>
      </c>
      <c r="E64" s="2222">
        <v>13944640</v>
      </c>
      <c r="F64" s="2222">
        <v>31866264</v>
      </c>
      <c r="G64" s="2221">
        <f t="shared" si="2"/>
        <v>45810904</v>
      </c>
    </row>
    <row r="65" spans="2:7">
      <c r="B65" s="2218">
        <v>58</v>
      </c>
      <c r="C65" s="2224">
        <v>44790</v>
      </c>
      <c r="D65" s="2219" t="s">
        <v>1432</v>
      </c>
      <c r="E65" s="2222">
        <v>13944640</v>
      </c>
      <c r="F65" s="2222">
        <v>31866264</v>
      </c>
      <c r="G65" s="2221">
        <f t="shared" si="2"/>
        <v>45810904</v>
      </c>
    </row>
    <row r="66" spans="2:7">
      <c r="B66" s="2218">
        <v>59</v>
      </c>
      <c r="C66" s="2224">
        <v>44821</v>
      </c>
      <c r="D66" s="2219" t="s">
        <v>436</v>
      </c>
      <c r="E66" s="2222">
        <v>13944640</v>
      </c>
      <c r="F66" s="2222">
        <v>31866264</v>
      </c>
      <c r="G66" s="2221">
        <f t="shared" si="2"/>
        <v>45810904</v>
      </c>
    </row>
    <row r="67" spans="2:7">
      <c r="B67" s="2218">
        <v>60</v>
      </c>
      <c r="C67" s="2224">
        <v>44851</v>
      </c>
      <c r="D67" s="2219" t="s">
        <v>436</v>
      </c>
      <c r="E67" s="2222">
        <v>13944640</v>
      </c>
      <c r="F67" s="2222">
        <v>31866264</v>
      </c>
      <c r="G67" s="2221">
        <f t="shared" si="2"/>
        <v>45810904</v>
      </c>
    </row>
    <row r="68" spans="2:7">
      <c r="B68" s="2218">
        <v>61</v>
      </c>
      <c r="C68" s="2224">
        <v>44882</v>
      </c>
      <c r="D68" s="2219" t="s">
        <v>436</v>
      </c>
      <c r="E68" s="2222">
        <v>13944640</v>
      </c>
      <c r="F68" s="2222">
        <v>31866264</v>
      </c>
      <c r="G68" s="2221">
        <f t="shared" si="2"/>
        <v>45810904</v>
      </c>
    </row>
    <row r="69" spans="2:7">
      <c r="B69" s="2218">
        <v>62</v>
      </c>
      <c r="C69" s="2224">
        <v>44912</v>
      </c>
      <c r="D69" s="2219" t="s">
        <v>1431</v>
      </c>
      <c r="E69" s="2222">
        <v>13944640</v>
      </c>
      <c r="F69" s="2222">
        <v>31866264</v>
      </c>
      <c r="G69" s="2221">
        <f t="shared" si="2"/>
        <v>45810904</v>
      </c>
    </row>
    <row r="70" spans="2:7">
      <c r="B70" s="2218">
        <v>63</v>
      </c>
      <c r="C70" s="2224">
        <v>44943</v>
      </c>
      <c r="D70" s="2219" t="s">
        <v>1432</v>
      </c>
      <c r="E70" s="2222">
        <v>13944640</v>
      </c>
      <c r="F70" s="2222">
        <v>31866264</v>
      </c>
      <c r="G70" s="2221">
        <f t="shared" si="2"/>
        <v>45810904</v>
      </c>
    </row>
    <row r="71" spans="2:7">
      <c r="B71" s="2218">
        <v>64</v>
      </c>
      <c r="C71" s="2224">
        <v>44974</v>
      </c>
      <c r="D71" s="2219" t="s">
        <v>436</v>
      </c>
      <c r="E71" s="2222">
        <v>13944640</v>
      </c>
      <c r="F71" s="2222">
        <v>31866264</v>
      </c>
      <c r="G71" s="2221">
        <f t="shared" si="2"/>
        <v>45810904</v>
      </c>
    </row>
    <row r="72" spans="2:7">
      <c r="B72" s="2218">
        <v>65</v>
      </c>
      <c r="C72" s="2224">
        <v>45002</v>
      </c>
      <c r="D72" s="2219" t="s">
        <v>436</v>
      </c>
      <c r="E72" s="2222">
        <v>13944640</v>
      </c>
      <c r="F72" s="2222">
        <v>31866264</v>
      </c>
      <c r="G72" s="2221">
        <f t="shared" si="2"/>
        <v>45810904</v>
      </c>
    </row>
    <row r="73" spans="2:7">
      <c r="B73" s="2218">
        <v>66</v>
      </c>
      <c r="C73" s="2224">
        <v>45033</v>
      </c>
      <c r="D73" s="2219" t="s">
        <v>436</v>
      </c>
      <c r="E73" s="2222">
        <v>13944640</v>
      </c>
      <c r="F73" s="2222">
        <v>31866264</v>
      </c>
      <c r="G73" s="2221">
        <f t="shared" si="2"/>
        <v>45810904</v>
      </c>
    </row>
    <row r="74" spans="2:7">
      <c r="B74" s="2218">
        <v>67</v>
      </c>
      <c r="C74" s="2224">
        <v>45063</v>
      </c>
      <c r="D74" s="2219" t="s">
        <v>1432</v>
      </c>
      <c r="E74" s="2222">
        <v>13944640</v>
      </c>
      <c r="F74" s="2222">
        <v>31866264</v>
      </c>
      <c r="G74" s="2221">
        <f t="shared" si="2"/>
        <v>45810904</v>
      </c>
    </row>
    <row r="75" spans="2:7">
      <c r="B75" s="2218">
        <v>68</v>
      </c>
      <c r="C75" s="2224">
        <v>45094</v>
      </c>
      <c r="D75" s="2219" t="s">
        <v>436</v>
      </c>
      <c r="E75" s="2222">
        <v>13944640</v>
      </c>
      <c r="F75" s="2222">
        <v>31866264</v>
      </c>
      <c r="G75" s="2221">
        <f t="shared" si="2"/>
        <v>45810904</v>
      </c>
    </row>
    <row r="76" spans="2:7">
      <c r="B76" s="2218">
        <v>69</v>
      </c>
      <c r="C76" s="2224">
        <v>45124</v>
      </c>
      <c r="D76" s="2219" t="s">
        <v>436</v>
      </c>
      <c r="E76" s="2222">
        <v>13944640</v>
      </c>
      <c r="F76" s="2222">
        <v>31866264</v>
      </c>
      <c r="G76" s="2221">
        <f t="shared" si="2"/>
        <v>45810904</v>
      </c>
    </row>
    <row r="77" spans="2:7">
      <c r="B77" s="2218">
        <v>70</v>
      </c>
      <c r="C77" s="2224">
        <v>45155</v>
      </c>
      <c r="D77" s="2219" t="s">
        <v>436</v>
      </c>
      <c r="E77" s="2222">
        <v>13944640</v>
      </c>
      <c r="F77" s="2222">
        <v>31866264</v>
      </c>
      <c r="G77" s="2221">
        <f t="shared" si="2"/>
        <v>45810904</v>
      </c>
    </row>
    <row r="78" spans="2:7">
      <c r="B78" s="2218">
        <v>71</v>
      </c>
      <c r="C78" s="2224">
        <v>45186</v>
      </c>
      <c r="D78" s="2219" t="s">
        <v>436</v>
      </c>
      <c r="E78" s="2222">
        <v>13944640</v>
      </c>
      <c r="F78" s="2222">
        <v>31866264</v>
      </c>
      <c r="G78" s="2221">
        <f t="shared" si="2"/>
        <v>45810904</v>
      </c>
    </row>
    <row r="79" spans="2:7">
      <c r="B79" s="2218">
        <v>72</v>
      </c>
      <c r="C79" s="2224">
        <v>45216</v>
      </c>
      <c r="D79" s="2219" t="s">
        <v>436</v>
      </c>
      <c r="E79" s="2222">
        <v>13944640</v>
      </c>
      <c r="F79" s="2222">
        <v>31866264</v>
      </c>
      <c r="G79" s="2221">
        <f t="shared" si="2"/>
        <v>45810904</v>
      </c>
    </row>
    <row r="80" spans="2:7">
      <c r="B80" s="2218">
        <v>73</v>
      </c>
      <c r="C80" s="2224">
        <v>45247</v>
      </c>
      <c r="D80" s="2219" t="s">
        <v>436</v>
      </c>
      <c r="E80" s="2222">
        <v>13944640</v>
      </c>
      <c r="F80" s="2222">
        <v>31866264</v>
      </c>
      <c r="G80" s="2221">
        <f t="shared" si="2"/>
        <v>45810904</v>
      </c>
    </row>
    <row r="81" spans="2:11">
      <c r="B81" s="2218">
        <v>74</v>
      </c>
      <c r="C81" s="2224">
        <v>45277</v>
      </c>
      <c r="D81" s="2219" t="s">
        <v>436</v>
      </c>
      <c r="E81" s="2222">
        <v>13944640</v>
      </c>
      <c r="F81" s="2222">
        <v>31866264</v>
      </c>
      <c r="G81" s="2221">
        <f t="shared" si="2"/>
        <v>45810904</v>
      </c>
    </row>
    <row r="82" spans="2:11">
      <c r="B82" s="2218">
        <v>75</v>
      </c>
      <c r="C82" s="2224">
        <v>45308</v>
      </c>
      <c r="D82" s="2219" t="s">
        <v>436</v>
      </c>
      <c r="E82" s="2222">
        <v>13944640</v>
      </c>
      <c r="F82" s="2222">
        <v>31866264</v>
      </c>
      <c r="G82" s="2221">
        <f t="shared" si="2"/>
        <v>45810904</v>
      </c>
    </row>
    <row r="83" spans="2:11">
      <c r="B83" s="2218">
        <v>76</v>
      </c>
      <c r="C83" s="2224">
        <v>45339</v>
      </c>
      <c r="D83" s="2219" t="s">
        <v>436</v>
      </c>
      <c r="E83" s="2222">
        <v>13944640</v>
      </c>
      <c r="F83" s="2222">
        <v>31866264</v>
      </c>
      <c r="G83" s="2221">
        <f t="shared" si="2"/>
        <v>45810904</v>
      </c>
    </row>
    <row r="84" spans="2:11">
      <c r="B84" s="2218">
        <v>77</v>
      </c>
      <c r="C84" s="2224">
        <v>45368</v>
      </c>
      <c r="D84" s="2219" t="s">
        <v>436</v>
      </c>
      <c r="E84" s="2222">
        <v>13944640</v>
      </c>
      <c r="F84" s="2222">
        <v>31866264</v>
      </c>
      <c r="G84" s="2221">
        <f t="shared" si="2"/>
        <v>45810904</v>
      </c>
    </row>
    <row r="85" spans="2:11">
      <c r="B85" s="2218">
        <v>78</v>
      </c>
      <c r="C85" s="2224">
        <v>45399</v>
      </c>
      <c r="D85" s="2219" t="s">
        <v>436</v>
      </c>
      <c r="E85" s="2222">
        <v>13944640</v>
      </c>
      <c r="F85" s="2222">
        <v>31866264</v>
      </c>
      <c r="G85" s="2221">
        <f t="shared" si="2"/>
        <v>45810904</v>
      </c>
    </row>
    <row r="86" spans="2:11">
      <c r="B86" s="2218">
        <v>79</v>
      </c>
      <c r="C86" s="2224">
        <v>45429</v>
      </c>
      <c r="D86" s="2219" t="s">
        <v>436</v>
      </c>
      <c r="E86" s="2222">
        <v>13944640</v>
      </c>
      <c r="F86" s="2222">
        <v>31866264</v>
      </c>
      <c r="G86" s="2221">
        <f t="shared" ref="G86" si="3">E86+F86</f>
        <v>45810904</v>
      </c>
    </row>
    <row r="87" spans="2:11">
      <c r="B87" s="2218">
        <v>80</v>
      </c>
      <c r="C87" s="2224">
        <v>45460</v>
      </c>
      <c r="D87" s="2219" t="s">
        <v>436</v>
      </c>
      <c r="E87" s="2222">
        <v>13944640</v>
      </c>
      <c r="F87" s="2222">
        <v>31866264</v>
      </c>
      <c r="G87" s="2221">
        <f t="shared" ref="G87" si="4">E87+F87</f>
        <v>45810904</v>
      </c>
    </row>
    <row r="88" spans="2:11">
      <c r="B88" s="2218">
        <v>81</v>
      </c>
      <c r="C88" s="2224">
        <v>45490</v>
      </c>
      <c r="D88" s="2219" t="s">
        <v>436</v>
      </c>
      <c r="E88" s="2222">
        <v>13944640</v>
      </c>
      <c r="F88" s="2222">
        <v>31866264</v>
      </c>
      <c r="G88" s="2221">
        <f t="shared" ref="G88" si="5">E88+F88</f>
        <v>45810904</v>
      </c>
    </row>
    <row r="89" spans="2:11" ht="25.15" customHeight="1">
      <c r="B89" s="3031" t="s">
        <v>1433</v>
      </c>
      <c r="C89" s="3031"/>
      <c r="D89" s="2231"/>
      <c r="E89" s="2232">
        <f>SUM(E7:E88)</f>
        <v>1812055524</v>
      </c>
      <c r="F89" s="2232">
        <f>SUM(F7:F88)</f>
        <v>4166309370</v>
      </c>
      <c r="G89" s="2232">
        <f>SUM(G7:G88)</f>
        <v>5978364894</v>
      </c>
      <c r="K89" s="1810"/>
    </row>
    <row r="90" spans="2:11" ht="24.75" customHeight="1">
      <c r="B90" s="1809"/>
      <c r="C90" s="1812"/>
      <c r="D90" s="1812"/>
      <c r="E90" s="1813"/>
      <c r="F90" s="1814"/>
      <c r="G90" s="1812"/>
    </row>
    <row r="91" spans="2:11" ht="19.899999999999999" customHeight="1">
      <c r="E91" s="2241" t="s">
        <v>2218</v>
      </c>
      <c r="F91" s="2241"/>
      <c r="G91" s="2243" t="s">
        <v>2222</v>
      </c>
    </row>
    <row r="92" spans="2:11" ht="19.899999999999999" customHeight="1">
      <c r="E92" s="2226" t="s">
        <v>1434</v>
      </c>
      <c r="F92" s="2227">
        <v>92172.56</v>
      </c>
      <c r="G92" s="2242" t="s">
        <v>2219</v>
      </c>
    </row>
    <row r="93" spans="2:11" ht="19.899999999999999" customHeight="1">
      <c r="E93" s="653" t="s">
        <v>2220</v>
      </c>
      <c r="F93" s="2228">
        <v>151.28841</v>
      </c>
      <c r="G93" s="2240" t="s">
        <v>437</v>
      </c>
    </row>
    <row r="94" spans="2:11" ht="19.899999999999999" customHeight="1">
      <c r="E94" s="2229" t="s">
        <v>2221</v>
      </c>
      <c r="F94" s="2230">
        <f>F92*F93</f>
        <v>13944640.0480296</v>
      </c>
      <c r="G94" s="2225"/>
    </row>
    <row r="95" spans="2:11">
      <c r="B95" s="1812"/>
      <c r="C95" s="1815"/>
      <c r="D95" s="1812"/>
      <c r="E95" s="1420"/>
      <c r="F95" s="1812"/>
      <c r="G95" s="1812"/>
    </row>
    <row r="96" spans="2:11">
      <c r="B96" s="1816" t="s">
        <v>1435</v>
      </c>
      <c r="C96" s="1812"/>
      <c r="D96" s="1812"/>
      <c r="E96" s="1812"/>
      <c r="F96" s="1812"/>
      <c r="G96" s="1817" t="s">
        <v>438</v>
      </c>
    </row>
    <row r="97" spans="2:15" ht="19.899999999999999" customHeight="1">
      <c r="B97" s="460" t="s">
        <v>428</v>
      </c>
      <c r="C97" s="460" t="s">
        <v>439</v>
      </c>
      <c r="D97" s="460" t="s">
        <v>440</v>
      </c>
      <c r="E97" s="460" t="s">
        <v>431</v>
      </c>
      <c r="F97" s="460" t="s">
        <v>432</v>
      </c>
      <c r="G97" s="460" t="s">
        <v>299</v>
      </c>
    </row>
    <row r="98" spans="2:15" ht="19.899999999999999" customHeight="1">
      <c r="B98" s="2218">
        <v>1</v>
      </c>
      <c r="C98" s="2233" t="s">
        <v>441</v>
      </c>
      <c r="D98" s="2234" t="s">
        <v>1436</v>
      </c>
      <c r="E98" s="2222">
        <v>58658471</v>
      </c>
      <c r="F98" s="2222">
        <v>136026129</v>
      </c>
      <c r="G98" s="2221">
        <f t="shared" ref="G98:G110" si="6">E98+F98</f>
        <v>194684600</v>
      </c>
    </row>
    <row r="99" spans="2:15" ht="19.899999999999999" customHeight="1">
      <c r="B99" s="2218">
        <v>2</v>
      </c>
      <c r="C99" s="2233" t="s">
        <v>442</v>
      </c>
      <c r="D99" s="2234" t="s">
        <v>443</v>
      </c>
      <c r="E99" s="2222">
        <v>13760371</v>
      </c>
      <c r="F99" s="2222">
        <v>31909627</v>
      </c>
      <c r="G99" s="2221">
        <f t="shared" si="6"/>
        <v>45669998</v>
      </c>
    </row>
    <row r="100" spans="2:15" ht="19.899999999999999" customHeight="1">
      <c r="B100" s="2218">
        <v>3</v>
      </c>
      <c r="C100" s="2235" t="s">
        <v>1437</v>
      </c>
      <c r="D100" s="2234" t="s">
        <v>444</v>
      </c>
      <c r="E100" s="2222">
        <v>88869000</v>
      </c>
      <c r="F100" s="2222">
        <v>0</v>
      </c>
      <c r="G100" s="2221">
        <f t="shared" si="6"/>
        <v>88869000</v>
      </c>
    </row>
    <row r="101" spans="2:15" ht="19.899999999999999" customHeight="1">
      <c r="B101" s="2236">
        <v>4</v>
      </c>
      <c r="C101" s="2235" t="s">
        <v>445</v>
      </c>
      <c r="D101" s="2234" t="s">
        <v>444</v>
      </c>
      <c r="E101" s="2222">
        <v>86031000</v>
      </c>
      <c r="F101" s="2222">
        <v>0</v>
      </c>
      <c r="G101" s="2221">
        <f t="shared" si="6"/>
        <v>86031000</v>
      </c>
    </row>
    <row r="102" spans="2:15" ht="19.899999999999999" customHeight="1">
      <c r="B102" s="2236">
        <v>5</v>
      </c>
      <c r="C102" s="2235" t="s">
        <v>446</v>
      </c>
      <c r="D102" s="2237" t="s">
        <v>447</v>
      </c>
      <c r="E102" s="2222">
        <v>69617242</v>
      </c>
      <c r="F102" s="2222">
        <v>160817468</v>
      </c>
      <c r="G102" s="2221">
        <f t="shared" si="6"/>
        <v>230434710</v>
      </c>
      <c r="L102" s="1811"/>
      <c r="M102" s="1811"/>
      <c r="N102" s="1810"/>
    </row>
    <row r="103" spans="2:15" ht="19.899999999999999" customHeight="1">
      <c r="B103" s="2236">
        <v>6</v>
      </c>
      <c r="C103" s="2235" t="s">
        <v>1438</v>
      </c>
      <c r="D103" s="2237" t="s">
        <v>447</v>
      </c>
      <c r="E103" s="2222">
        <v>144643867</v>
      </c>
      <c r="F103" s="2222">
        <v>85790843</v>
      </c>
      <c r="G103" s="2221">
        <f t="shared" si="6"/>
        <v>230434710</v>
      </c>
      <c r="L103" s="1811"/>
    </row>
    <row r="104" spans="2:15" ht="19.899999999999999" customHeight="1">
      <c r="B104" s="2236">
        <v>7</v>
      </c>
      <c r="C104" s="2235" t="s">
        <v>1439</v>
      </c>
      <c r="D104" s="2237" t="s">
        <v>447</v>
      </c>
      <c r="E104" s="2222">
        <v>267917291</v>
      </c>
      <c r="F104" s="2222">
        <v>39328989</v>
      </c>
      <c r="G104" s="2221">
        <f t="shared" si="6"/>
        <v>307246280</v>
      </c>
    </row>
    <row r="105" spans="2:15" ht="19.899999999999999" customHeight="1">
      <c r="B105" s="2236">
        <v>8</v>
      </c>
      <c r="C105" s="2235" t="s">
        <v>1440</v>
      </c>
      <c r="D105" s="2238" t="s">
        <v>1441</v>
      </c>
      <c r="E105" s="2222">
        <v>142890000</v>
      </c>
      <c r="F105" s="2222">
        <v>0</v>
      </c>
      <c r="G105" s="2221">
        <f t="shared" si="6"/>
        <v>142890000</v>
      </c>
      <c r="L105" s="1811"/>
    </row>
    <row r="106" spans="2:15" ht="19.899999999999999" customHeight="1">
      <c r="B106" s="2236">
        <v>9</v>
      </c>
      <c r="C106" s="2235" t="s">
        <v>1442</v>
      </c>
      <c r="D106" s="2238" t="s">
        <v>1443</v>
      </c>
      <c r="E106" s="2222">
        <v>7556604</v>
      </c>
      <c r="F106" s="2222">
        <v>17523396</v>
      </c>
      <c r="G106" s="2221">
        <f t="shared" si="6"/>
        <v>25080000</v>
      </c>
      <c r="L106" s="1818"/>
    </row>
    <row r="107" spans="2:15" ht="19.899999999999999" customHeight="1">
      <c r="B107" s="2236">
        <v>10</v>
      </c>
      <c r="C107" s="2235" t="s">
        <v>1444</v>
      </c>
      <c r="D107" s="2238" t="s">
        <v>448</v>
      </c>
      <c r="E107" s="2222">
        <v>7556604</v>
      </c>
      <c r="F107" s="2222">
        <v>17523396</v>
      </c>
      <c r="G107" s="2221">
        <f t="shared" si="6"/>
        <v>25080000</v>
      </c>
      <c r="L107" s="1819"/>
    </row>
    <row r="108" spans="2:15" ht="19.899999999999999" customHeight="1">
      <c r="B108" s="2236">
        <v>11</v>
      </c>
      <c r="C108" s="2235" t="s">
        <v>449</v>
      </c>
      <c r="D108" s="2238" t="s">
        <v>450</v>
      </c>
      <c r="E108" s="2222">
        <v>10075472</v>
      </c>
      <c r="F108" s="2222">
        <v>23364528</v>
      </c>
      <c r="G108" s="2221">
        <f t="shared" si="6"/>
        <v>33440000</v>
      </c>
      <c r="L108" s="1811"/>
      <c r="M108" s="1811"/>
      <c r="N108" s="1810"/>
    </row>
    <row r="109" spans="2:15" ht="19.899999999999999" customHeight="1">
      <c r="B109" s="2236">
        <v>12</v>
      </c>
      <c r="C109" s="2235" t="s">
        <v>449</v>
      </c>
      <c r="D109" s="2238" t="s">
        <v>1445</v>
      </c>
      <c r="E109" s="2222">
        <v>16473828</v>
      </c>
      <c r="F109" s="2222">
        <v>38202002</v>
      </c>
      <c r="G109" s="2221">
        <f t="shared" si="6"/>
        <v>54675830</v>
      </c>
      <c r="L109" s="1820"/>
      <c r="M109" s="1820"/>
      <c r="N109" s="1820"/>
      <c r="O109" s="1820"/>
    </row>
    <row r="110" spans="2:15" ht="19.899999999999999" customHeight="1">
      <c r="B110" s="2236">
        <v>13</v>
      </c>
      <c r="C110" s="2235" t="s">
        <v>451</v>
      </c>
      <c r="D110" s="2238" t="s">
        <v>452</v>
      </c>
      <c r="E110" s="2222">
        <v>1822865</v>
      </c>
      <c r="F110" s="2222">
        <v>4227135</v>
      </c>
      <c r="G110" s="2221">
        <f t="shared" si="6"/>
        <v>6050000</v>
      </c>
      <c r="L110" s="1820"/>
      <c r="M110" s="1820"/>
      <c r="N110" s="1820"/>
      <c r="O110" s="1820"/>
    </row>
    <row r="111" spans="2:15" ht="19.899999999999999" customHeight="1">
      <c r="B111" s="2236">
        <v>14</v>
      </c>
      <c r="C111" s="2235" t="s">
        <v>1690</v>
      </c>
      <c r="D111" s="2238" t="s">
        <v>1691</v>
      </c>
      <c r="E111" s="2222">
        <v>23501400</v>
      </c>
      <c r="F111" s="2222">
        <v>0</v>
      </c>
      <c r="G111" s="2221">
        <f t="shared" ref="G111" si="7">E111+F111</f>
        <v>23501400</v>
      </c>
      <c r="L111" s="1820"/>
      <c r="M111" s="1820"/>
      <c r="N111" s="1820"/>
      <c r="O111" s="1820"/>
    </row>
    <row r="112" spans="2:15" ht="19.899999999999999" customHeight="1">
      <c r="B112" s="3032" t="s">
        <v>167</v>
      </c>
      <c r="C112" s="3032"/>
      <c r="D112" s="3033"/>
      <c r="E112" s="2239">
        <f>SUM(E98:E111)</f>
        <v>939374015</v>
      </c>
      <c r="F112" s="2239">
        <f t="shared" ref="F112:G112" si="8">SUM(F98:F111)</f>
        <v>554713513</v>
      </c>
      <c r="G112" s="2239">
        <f t="shared" si="8"/>
        <v>1494087528</v>
      </c>
      <c r="M112" s="1811"/>
    </row>
    <row r="113" spans="2:14">
      <c r="G113" s="1817"/>
      <c r="L113" s="1811"/>
      <c r="M113" s="1811"/>
      <c r="N113" s="1810"/>
    </row>
    <row r="114" spans="2:14">
      <c r="G114" s="1817" t="s">
        <v>1446</v>
      </c>
    </row>
    <row r="115" spans="2:14" ht="22.9" customHeight="1">
      <c r="B115" s="3034" t="s">
        <v>1447</v>
      </c>
      <c r="C115" s="3034"/>
      <c r="D115" s="3034"/>
      <c r="E115" s="2244">
        <f>E89-E112+845255</f>
        <v>873526764</v>
      </c>
      <c r="F115" s="2244">
        <f>F89-F112-845255</f>
        <v>3610750602</v>
      </c>
      <c r="G115" s="2244">
        <f>G89-G112</f>
        <v>4484277366</v>
      </c>
      <c r="J115" s="1810"/>
    </row>
    <row r="117" spans="2:14">
      <c r="E117" s="1821"/>
      <c r="G117" s="1821"/>
      <c r="J117" s="1811"/>
      <c r="L117" s="1811"/>
    </row>
    <row r="118" spans="2:14">
      <c r="J118" s="1811"/>
      <c r="L118" s="1811"/>
    </row>
    <row r="119" spans="2:14">
      <c r="F119" s="1821"/>
      <c r="J119" s="1811"/>
      <c r="L119" s="1811"/>
    </row>
    <row r="133" spans="2:16">
      <c r="J133" s="1045"/>
    </row>
    <row r="140" spans="2:16">
      <c r="N140" s="1811"/>
      <c r="O140" s="1811"/>
      <c r="P140" s="1811"/>
    </row>
    <row r="141" spans="2:16">
      <c r="B141" s="1809"/>
      <c r="G141" s="1801"/>
      <c r="N141" s="1820"/>
      <c r="O141" s="1820"/>
    </row>
    <row r="147" spans="15:18">
      <c r="O147" s="1819"/>
    </row>
    <row r="155" spans="15:18">
      <c r="O155" s="1811"/>
      <c r="P155" s="1811"/>
      <c r="Q155" s="1811"/>
      <c r="R155" s="1811"/>
    </row>
    <row r="156" spans="15:18">
      <c r="O156" s="1811"/>
      <c r="P156" s="1811"/>
      <c r="Q156" s="1811"/>
      <c r="R156" s="1811"/>
    </row>
    <row r="157" spans="15:18">
      <c r="O157" s="1811"/>
      <c r="P157" s="1811"/>
      <c r="Q157" s="1811"/>
      <c r="R157" s="1811"/>
    </row>
    <row r="158" spans="15:18">
      <c r="O158" s="1811"/>
      <c r="P158" s="1811"/>
      <c r="Q158" s="1811"/>
      <c r="R158" s="1811"/>
    </row>
    <row r="159" spans="15:18">
      <c r="O159" s="1811"/>
      <c r="P159" s="1811"/>
      <c r="Q159" s="1811"/>
      <c r="R159" s="1811"/>
    </row>
    <row r="160" spans="15:18">
      <c r="O160" s="1811"/>
      <c r="P160" s="1811"/>
      <c r="Q160" s="1811"/>
      <c r="R160" s="1811"/>
    </row>
    <row r="162" spans="7:17">
      <c r="O162" s="1811"/>
      <c r="P162" s="1811"/>
      <c r="Q162" s="1811"/>
    </row>
    <row r="163" spans="7:17">
      <c r="O163" s="1811"/>
      <c r="P163" s="1811"/>
      <c r="Q163" s="1811"/>
    </row>
    <row r="164" spans="7:17">
      <c r="O164" s="1811"/>
      <c r="P164" s="1811"/>
      <c r="Q164" s="1811"/>
    </row>
    <row r="165" spans="7:17">
      <c r="O165" s="1811"/>
      <c r="P165" s="1811"/>
      <c r="Q165" s="1811"/>
    </row>
    <row r="166" spans="7:17">
      <c r="N166" s="1810"/>
    </row>
    <row r="169" spans="7:17">
      <c r="N169" s="1811"/>
    </row>
    <row r="173" spans="7:17">
      <c r="G173" s="1822"/>
    </row>
    <row r="181" spans="8:9">
      <c r="H181" s="1811"/>
      <c r="I181" s="1811"/>
    </row>
  </sheetData>
  <mergeCells count="3">
    <mergeCell ref="B89:C89"/>
    <mergeCell ref="B112:D112"/>
    <mergeCell ref="B115:D115"/>
  </mergeCells>
  <phoneticPr fontId="6" type="noConversion"/>
  <pageMargins left="0.7" right="0.7" top="0.75" bottom="0.75" header="0.3" footer="0.3"/>
  <pageSetup paperSize="9" scale="66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B2:I72"/>
  <sheetViews>
    <sheetView showGridLines="0" zoomScale="80" zoomScaleNormal="80" workbookViewId="0">
      <selection activeCell="H36" sqref="H36"/>
    </sheetView>
  </sheetViews>
  <sheetFormatPr defaultColWidth="9" defaultRowHeight="17.100000000000001" customHeight="1"/>
  <cols>
    <col min="1" max="1" width="3.25" style="343" customWidth="1"/>
    <col min="2" max="2" width="4.125" style="417" customWidth="1"/>
    <col min="3" max="3" width="19.875" style="343" customWidth="1"/>
    <col min="4" max="4" width="21.25" style="343" customWidth="1"/>
    <col min="5" max="5" width="11.125" style="343" customWidth="1"/>
    <col min="6" max="6" width="17.25" style="372" bestFit="1" customWidth="1"/>
    <col min="7" max="7" width="17.25" style="343" bestFit="1" customWidth="1"/>
    <col min="8" max="8" width="15.375" style="373" bestFit="1" customWidth="1"/>
    <col min="9" max="16384" width="9" style="343"/>
  </cols>
  <sheetData>
    <row r="2" spans="2:9" ht="17.100000000000001" customHeight="1">
      <c r="B2" s="2432" t="s">
        <v>1650</v>
      </c>
      <c r="C2" s="2432"/>
      <c r="D2" s="2432"/>
    </row>
    <row r="3" spans="2:9" ht="16.5" customHeight="1">
      <c r="B3" s="2433"/>
      <c r="C3" s="2433"/>
      <c r="D3" s="2433"/>
    </row>
    <row r="4" spans="2:9" ht="16.5" customHeight="1">
      <c r="B4" s="2433"/>
      <c r="C4" s="2433"/>
      <c r="D4" s="2433"/>
      <c r="E4" s="374">
        <f>10^6</f>
        <v>1000000</v>
      </c>
    </row>
    <row r="5" spans="2:9" ht="17.100000000000001" customHeight="1">
      <c r="B5" s="341" t="s">
        <v>1651</v>
      </c>
    </row>
    <row r="6" spans="2:9" s="380" customFormat="1" ht="17.100000000000001" customHeight="1">
      <c r="B6" s="375"/>
      <c r="C6" s="376" t="s">
        <v>206</v>
      </c>
      <c r="D6" s="377" t="s">
        <v>1652</v>
      </c>
      <c r="E6" s="343"/>
      <c r="F6" s="347" t="s">
        <v>1653</v>
      </c>
      <c r="G6" s="378"/>
      <c r="H6" s="379"/>
    </row>
    <row r="7" spans="2:9" s="383" customFormat="1" ht="17.100000000000001" customHeight="1">
      <c r="B7" s="2434" t="s">
        <v>216</v>
      </c>
      <c r="C7" s="2435"/>
      <c r="D7" s="381">
        <v>2062278609</v>
      </c>
      <c r="E7" s="382"/>
      <c r="F7" s="347" t="s">
        <v>1654</v>
      </c>
      <c r="G7" s="378"/>
      <c r="H7" s="378"/>
    </row>
    <row r="8" spans="2:9" s="380" customFormat="1" ht="17.100000000000001" customHeight="1">
      <c r="B8" s="360"/>
      <c r="C8" s="384" t="s">
        <v>556</v>
      </c>
      <c r="D8" s="385">
        <v>1100520070</v>
      </c>
      <c r="E8" s="382"/>
      <c r="F8" s="378"/>
      <c r="G8" s="378"/>
      <c r="H8" s="378"/>
      <c r="I8" s="383"/>
    </row>
    <row r="9" spans="2:9" s="380" customFormat="1" ht="17.100000000000001" customHeight="1">
      <c r="B9" s="360"/>
      <c r="C9" s="384" t="s">
        <v>1655</v>
      </c>
      <c r="D9" s="385">
        <v>927074540</v>
      </c>
      <c r="E9" s="382"/>
      <c r="F9" s="378"/>
      <c r="G9" s="378"/>
      <c r="H9" s="378"/>
      <c r="I9" s="383"/>
    </row>
    <row r="10" spans="2:9" s="380" customFormat="1" ht="17.100000000000001" customHeight="1">
      <c r="B10" s="360"/>
      <c r="C10" s="384" t="s">
        <v>1656</v>
      </c>
      <c r="D10" s="385">
        <v>34683999</v>
      </c>
      <c r="E10" s="382"/>
      <c r="F10" s="378"/>
      <c r="G10" s="378"/>
      <c r="H10" s="378"/>
      <c r="I10" s="383"/>
    </row>
    <row r="11" spans="2:9" s="380" customFormat="1" ht="17.100000000000001" customHeight="1">
      <c r="B11" s="360"/>
      <c r="C11" s="380" t="s">
        <v>838</v>
      </c>
      <c r="D11" s="386">
        <v>0</v>
      </c>
      <c r="E11" s="343"/>
      <c r="F11" s="378"/>
      <c r="G11" s="378"/>
      <c r="H11" s="378"/>
      <c r="I11" s="383"/>
    </row>
    <row r="12" spans="2:9" s="383" customFormat="1" ht="17.100000000000001" customHeight="1">
      <c r="B12" s="2434" t="s">
        <v>1657</v>
      </c>
      <c r="C12" s="2435"/>
      <c r="D12" s="381">
        <v>1085636031</v>
      </c>
      <c r="E12" s="382"/>
      <c r="F12" s="378"/>
      <c r="G12" s="378"/>
      <c r="H12" s="378"/>
    </row>
    <row r="13" spans="2:9" s="388" customFormat="1" ht="17.100000000000001" customHeight="1">
      <c r="B13" s="2430" t="s">
        <v>839</v>
      </c>
      <c r="C13" s="2431"/>
      <c r="D13" s="387">
        <v>540277395</v>
      </c>
      <c r="E13" s="382"/>
      <c r="F13" s="378"/>
      <c r="G13" s="378"/>
      <c r="H13" s="378"/>
      <c r="I13" s="383"/>
    </row>
    <row r="14" spans="2:9" s="388" customFormat="1" ht="17.100000000000001" customHeight="1">
      <c r="B14" s="389"/>
      <c r="C14" s="390" t="s">
        <v>1658</v>
      </c>
      <c r="D14" s="391">
        <v>28442430</v>
      </c>
      <c r="E14" s="382"/>
      <c r="F14" s="378"/>
      <c r="G14" s="378"/>
      <c r="H14" s="378"/>
      <c r="I14" s="383"/>
    </row>
    <row r="15" spans="2:9" s="388" customFormat="1" ht="17.100000000000001" customHeight="1">
      <c r="B15" s="389"/>
      <c r="C15" s="390" t="s">
        <v>841</v>
      </c>
      <c r="D15" s="391">
        <v>103577700</v>
      </c>
      <c r="F15" s="378"/>
      <c r="G15" s="378"/>
      <c r="H15" s="378"/>
      <c r="I15" s="383"/>
    </row>
    <row r="16" spans="2:9" s="388" customFormat="1" ht="17.100000000000001" customHeight="1">
      <c r="B16" s="389"/>
      <c r="C16" s="392" t="s">
        <v>1659</v>
      </c>
      <c r="D16" s="393">
        <v>13944640</v>
      </c>
      <c r="E16" s="343"/>
      <c r="F16" s="378"/>
      <c r="G16" s="378"/>
      <c r="H16" s="378"/>
      <c r="I16" s="383"/>
    </row>
    <row r="17" spans="2:9" s="388" customFormat="1" ht="17.100000000000001" customHeight="1">
      <c r="B17" s="389"/>
      <c r="C17" s="392" t="s">
        <v>218</v>
      </c>
      <c r="D17" s="393">
        <v>0</v>
      </c>
      <c r="E17" s="343"/>
      <c r="F17" s="378"/>
      <c r="G17" s="378"/>
      <c r="H17" s="378"/>
      <c r="I17" s="383"/>
    </row>
    <row r="18" spans="2:9" s="388" customFormat="1" ht="17.100000000000001" customHeight="1">
      <c r="B18" s="389"/>
      <c r="C18" s="392" t="s">
        <v>842</v>
      </c>
      <c r="D18" s="393">
        <v>394312625</v>
      </c>
      <c r="E18" s="343"/>
      <c r="F18" s="378"/>
      <c r="G18" s="378"/>
      <c r="H18" s="378"/>
      <c r="I18" s="383"/>
    </row>
    <row r="19" spans="2:9" s="388" customFormat="1" ht="17.100000000000001" customHeight="1">
      <c r="B19" s="2436" t="s">
        <v>219</v>
      </c>
      <c r="C19" s="2437"/>
      <c r="D19" s="394">
        <v>545358636</v>
      </c>
      <c r="E19" s="382"/>
      <c r="F19" s="378"/>
      <c r="G19" s="378"/>
      <c r="H19" s="378"/>
      <c r="I19" s="383"/>
    </row>
    <row r="20" spans="2:9" s="388" customFormat="1" ht="17.100000000000001" customHeight="1">
      <c r="B20" s="389"/>
      <c r="C20" s="395" t="s">
        <v>843</v>
      </c>
      <c r="D20" s="396">
        <v>1400000</v>
      </c>
      <c r="E20" s="343"/>
      <c r="F20" s="397"/>
      <c r="G20" s="378"/>
      <c r="H20" s="378"/>
      <c r="I20" s="383"/>
    </row>
    <row r="21" spans="2:9" s="402" customFormat="1" ht="17.100000000000001" customHeight="1">
      <c r="B21" s="398"/>
      <c r="C21" s="399" t="s">
        <v>844</v>
      </c>
      <c r="D21" s="400">
        <v>433558284</v>
      </c>
      <c r="E21" s="401"/>
      <c r="F21" s="378"/>
      <c r="G21" s="378"/>
      <c r="H21" s="378"/>
      <c r="I21" s="383"/>
    </row>
    <row r="22" spans="2:9" s="388" customFormat="1" ht="17.100000000000001" customHeight="1">
      <c r="B22" s="389"/>
      <c r="C22" s="403" t="s">
        <v>220</v>
      </c>
      <c r="D22" s="385">
        <v>2385390</v>
      </c>
      <c r="E22" s="382"/>
      <c r="F22" s="378"/>
      <c r="G22" s="378"/>
      <c r="H22" s="378"/>
      <c r="I22" s="383"/>
    </row>
    <row r="23" spans="2:9" s="388" customFormat="1" ht="17.100000000000001" customHeight="1">
      <c r="B23" s="389"/>
      <c r="C23" s="395" t="s">
        <v>1660</v>
      </c>
      <c r="D23" s="404">
        <v>16666667</v>
      </c>
      <c r="E23" s="382"/>
      <c r="F23" s="378"/>
      <c r="G23" s="378"/>
      <c r="H23" s="378"/>
      <c r="I23" s="383"/>
    </row>
    <row r="24" spans="2:9" s="388" customFormat="1" ht="17.100000000000001" customHeight="1">
      <c r="B24" s="389"/>
      <c r="C24" s="395" t="s">
        <v>847</v>
      </c>
      <c r="D24" s="404">
        <v>2250002</v>
      </c>
      <c r="E24" s="382"/>
      <c r="F24" s="378"/>
      <c r="G24" s="378"/>
      <c r="H24" s="378"/>
      <c r="I24" s="383"/>
    </row>
    <row r="25" spans="2:9" s="388" customFormat="1" ht="17.100000000000001" customHeight="1">
      <c r="B25" s="389"/>
      <c r="C25" s="395" t="s">
        <v>1661</v>
      </c>
      <c r="D25" s="404">
        <v>2916668</v>
      </c>
      <c r="E25" s="382"/>
      <c r="F25" s="378"/>
      <c r="G25" s="378"/>
      <c r="H25" s="378"/>
      <c r="I25" s="383"/>
    </row>
    <row r="26" spans="2:9" s="388" customFormat="1" ht="17.100000000000001" customHeight="1">
      <c r="B26" s="389"/>
      <c r="C26" s="395" t="s">
        <v>1662</v>
      </c>
      <c r="D26" s="404">
        <v>16607870</v>
      </c>
      <c r="E26" s="382"/>
      <c r="F26" s="397"/>
      <c r="G26" s="378"/>
      <c r="H26" s="378"/>
      <c r="I26" s="383"/>
    </row>
    <row r="27" spans="2:9" s="402" customFormat="1" ht="16.5" customHeight="1">
      <c r="B27" s="398"/>
      <c r="C27" s="405" t="s">
        <v>850</v>
      </c>
      <c r="D27" s="406">
        <v>65311000</v>
      </c>
      <c r="E27" s="401"/>
      <c r="F27" s="378"/>
      <c r="G27" s="378"/>
      <c r="H27" s="378"/>
      <c r="I27" s="383"/>
    </row>
    <row r="28" spans="2:9" s="388" customFormat="1" ht="16.5" customHeight="1">
      <c r="B28" s="389"/>
      <c r="C28" s="390" t="s">
        <v>851</v>
      </c>
      <c r="D28" s="391">
        <v>3998415</v>
      </c>
      <c r="E28" s="382"/>
      <c r="F28" s="378"/>
      <c r="G28" s="378"/>
      <c r="H28" s="378"/>
      <c r="I28" s="383"/>
    </row>
    <row r="29" spans="2:9" s="388" customFormat="1" ht="17.100000000000001" customHeight="1">
      <c r="B29" s="389"/>
      <c r="C29" s="407" t="s">
        <v>852</v>
      </c>
      <c r="D29" s="393">
        <v>264340</v>
      </c>
      <c r="E29" s="382"/>
      <c r="F29" s="378"/>
      <c r="G29" s="378"/>
      <c r="H29" s="378"/>
      <c r="I29" s="383"/>
    </row>
    <row r="30" spans="2:9" s="383" customFormat="1" ht="17.100000000000001" customHeight="1">
      <c r="B30" s="2434" t="s">
        <v>221</v>
      </c>
      <c r="C30" s="2435"/>
      <c r="D30" s="381">
        <v>976642578</v>
      </c>
      <c r="E30" s="382"/>
      <c r="F30" s="378"/>
      <c r="G30" s="378"/>
      <c r="H30" s="378"/>
    </row>
    <row r="31" spans="2:9" s="383" customFormat="1" ht="17.100000000000001" customHeight="1">
      <c r="B31" s="2438" t="s">
        <v>222</v>
      </c>
      <c r="C31" s="2439"/>
      <c r="D31" s="408">
        <v>42936615</v>
      </c>
      <c r="E31" s="382"/>
      <c r="F31" s="378"/>
      <c r="G31" s="378"/>
      <c r="H31" s="378"/>
    </row>
    <row r="32" spans="2:9" s="388" customFormat="1" ht="17.100000000000001" customHeight="1">
      <c r="B32" s="389"/>
      <c r="C32" s="409" t="s">
        <v>853</v>
      </c>
      <c r="D32" s="410">
        <v>42934135</v>
      </c>
      <c r="E32" s="382"/>
      <c r="F32" s="378"/>
      <c r="G32" s="378"/>
      <c r="H32" s="378"/>
      <c r="I32" s="383"/>
    </row>
    <row r="33" spans="2:9" s="388" customFormat="1" ht="17.100000000000001" customHeight="1">
      <c r="B33" s="411"/>
      <c r="C33" s="412" t="s">
        <v>1663</v>
      </c>
      <c r="D33" s="410">
        <v>2480</v>
      </c>
      <c r="E33" s="382"/>
      <c r="F33" s="378"/>
      <c r="G33" s="378"/>
      <c r="H33" s="378"/>
      <c r="I33" s="383"/>
    </row>
    <row r="34" spans="2:9" s="383" customFormat="1" ht="17.100000000000001" customHeight="1">
      <c r="B34" s="2438" t="s">
        <v>223</v>
      </c>
      <c r="C34" s="2439"/>
      <c r="D34" s="408">
        <v>627377046</v>
      </c>
      <c r="E34" s="382"/>
      <c r="F34" s="378"/>
      <c r="G34" s="378"/>
      <c r="H34" s="378"/>
    </row>
    <row r="35" spans="2:9" s="388" customFormat="1" ht="17.100000000000001" customHeight="1">
      <c r="B35" s="389"/>
      <c r="C35" s="409" t="s">
        <v>224</v>
      </c>
      <c r="D35" s="410">
        <v>627377046</v>
      </c>
      <c r="E35" s="382"/>
      <c r="F35" s="397"/>
      <c r="G35" s="378"/>
      <c r="H35" s="378"/>
      <c r="I35" s="383"/>
    </row>
    <row r="36" spans="2:9" s="402" customFormat="1" ht="17.100000000000001" customHeight="1">
      <c r="B36" s="413"/>
      <c r="C36" s="414" t="s">
        <v>1664</v>
      </c>
      <c r="D36" s="415">
        <v>0</v>
      </c>
      <c r="E36" s="401"/>
      <c r="F36" s="378"/>
      <c r="G36" s="378"/>
      <c r="H36" s="378"/>
      <c r="I36" s="383"/>
    </row>
    <row r="37" spans="2:9" s="383" customFormat="1" ht="17.100000000000001" customHeight="1">
      <c r="B37" s="2434" t="s">
        <v>225</v>
      </c>
      <c r="C37" s="2435"/>
      <c r="D37" s="381">
        <v>392202147</v>
      </c>
      <c r="E37" s="382"/>
      <c r="F37" s="378"/>
      <c r="G37" s="378"/>
      <c r="H37" s="378"/>
    </row>
    <row r="38" spans="2:9" s="380" customFormat="1" ht="17.100000000000001" customHeight="1">
      <c r="B38" s="416"/>
      <c r="D38" s="379"/>
      <c r="E38" s="343"/>
      <c r="F38" s="372"/>
      <c r="G38" s="343"/>
      <c r="H38" s="379"/>
    </row>
    <row r="39" spans="2:9" ht="17.100000000000001" customHeight="1">
      <c r="D39" s="379"/>
      <c r="E39" s="382"/>
    </row>
    <row r="40" spans="2:9" ht="17.100000000000001" customHeight="1">
      <c r="F40" s="373"/>
      <c r="G40" s="373"/>
    </row>
    <row r="41" spans="2:9" ht="17.100000000000001" customHeight="1">
      <c r="C41" s="379"/>
      <c r="D41" s="418"/>
      <c r="E41" s="373"/>
      <c r="F41" s="373"/>
      <c r="G41" s="373"/>
    </row>
    <row r="42" spans="2:9" ht="17.100000000000001" customHeight="1">
      <c r="C42" s="379"/>
      <c r="D42" s="418"/>
      <c r="E42" s="373"/>
      <c r="F42" s="373"/>
      <c r="G42" s="373"/>
    </row>
    <row r="43" spans="2:9" ht="17.100000000000001" customHeight="1">
      <c r="C43" s="379"/>
      <c r="D43" s="418"/>
      <c r="E43" s="373"/>
      <c r="F43" s="373"/>
      <c r="G43" s="373"/>
    </row>
    <row r="44" spans="2:9" ht="17.100000000000001" customHeight="1">
      <c r="C44" s="379"/>
      <c r="D44" s="418"/>
      <c r="E44" s="373"/>
      <c r="F44" s="373"/>
      <c r="G44" s="373"/>
    </row>
    <row r="45" spans="2:9" ht="17.100000000000001" customHeight="1">
      <c r="C45" s="379"/>
      <c r="D45" s="418"/>
      <c r="E45" s="373"/>
      <c r="F45" s="373"/>
      <c r="G45" s="373"/>
    </row>
    <row r="46" spans="2:9" ht="17.100000000000001" customHeight="1">
      <c r="C46" s="379"/>
      <c r="D46" s="418"/>
      <c r="E46" s="373"/>
      <c r="F46" s="373"/>
      <c r="G46" s="373"/>
    </row>
    <row r="47" spans="2:9" ht="17.100000000000001" customHeight="1">
      <c r="C47" s="379"/>
      <c r="D47" s="418"/>
      <c r="E47" s="373"/>
      <c r="F47" s="373"/>
      <c r="G47" s="373"/>
    </row>
    <row r="48" spans="2:9" ht="17.100000000000001" customHeight="1">
      <c r="C48" s="379"/>
      <c r="D48" s="418"/>
      <c r="E48" s="373"/>
      <c r="F48" s="373"/>
      <c r="G48" s="373"/>
    </row>
    <row r="49" spans="3:7" ht="17.100000000000001" customHeight="1">
      <c r="C49" s="379"/>
      <c r="D49" s="418"/>
      <c r="E49" s="373"/>
      <c r="F49" s="373"/>
      <c r="G49" s="373"/>
    </row>
    <row r="50" spans="3:7" ht="17.100000000000001" customHeight="1">
      <c r="C50" s="379"/>
      <c r="D50" s="418"/>
      <c r="E50" s="373"/>
      <c r="F50" s="373"/>
      <c r="G50" s="373"/>
    </row>
    <row r="51" spans="3:7" ht="17.100000000000001" customHeight="1">
      <c r="C51" s="379"/>
      <c r="D51" s="418"/>
      <c r="E51" s="373"/>
      <c r="F51" s="373"/>
      <c r="G51" s="373"/>
    </row>
    <row r="52" spans="3:7" ht="17.100000000000001" customHeight="1">
      <c r="C52" s="379"/>
      <c r="D52" s="418"/>
      <c r="E52" s="373"/>
      <c r="F52" s="373"/>
      <c r="G52" s="373"/>
    </row>
    <row r="53" spans="3:7" ht="17.100000000000001" customHeight="1">
      <c r="C53" s="379"/>
      <c r="D53" s="418"/>
      <c r="E53" s="373"/>
      <c r="F53" s="373"/>
      <c r="G53" s="373"/>
    </row>
    <row r="54" spans="3:7" ht="17.100000000000001" customHeight="1">
      <c r="C54" s="379"/>
      <c r="D54" s="418"/>
      <c r="E54" s="373"/>
      <c r="F54" s="373"/>
      <c r="G54" s="373"/>
    </row>
    <row r="55" spans="3:7" ht="17.100000000000001" customHeight="1">
      <c r="C55" s="379"/>
      <c r="D55" s="418"/>
      <c r="E55" s="373"/>
      <c r="F55" s="373"/>
      <c r="G55" s="373"/>
    </row>
    <row r="56" spans="3:7" ht="17.100000000000001" customHeight="1">
      <c r="C56" s="379"/>
      <c r="D56" s="418"/>
      <c r="E56" s="373"/>
      <c r="F56" s="373"/>
      <c r="G56" s="373"/>
    </row>
    <row r="57" spans="3:7" ht="17.100000000000001" customHeight="1">
      <c r="C57" s="379"/>
      <c r="D57" s="418"/>
      <c r="E57" s="373"/>
      <c r="F57" s="373"/>
      <c r="G57" s="373"/>
    </row>
    <row r="58" spans="3:7" ht="17.100000000000001" customHeight="1">
      <c r="C58" s="379"/>
      <c r="D58" s="418"/>
      <c r="E58" s="373"/>
      <c r="F58" s="373"/>
      <c r="G58" s="373"/>
    </row>
    <row r="59" spans="3:7" ht="17.100000000000001" customHeight="1">
      <c r="C59" s="379"/>
      <c r="D59" s="418"/>
      <c r="E59" s="373"/>
      <c r="F59" s="373"/>
      <c r="G59" s="373"/>
    </row>
    <row r="60" spans="3:7" ht="17.100000000000001" customHeight="1">
      <c r="C60" s="379"/>
      <c r="D60" s="418"/>
      <c r="E60" s="373"/>
      <c r="F60" s="373"/>
      <c r="G60" s="373"/>
    </row>
    <row r="61" spans="3:7" ht="17.100000000000001" customHeight="1">
      <c r="C61" s="379"/>
      <c r="D61" s="418"/>
      <c r="E61" s="373"/>
      <c r="F61" s="373"/>
      <c r="G61" s="373"/>
    </row>
    <row r="62" spans="3:7" ht="17.100000000000001" customHeight="1">
      <c r="C62" s="379"/>
      <c r="D62" s="418"/>
      <c r="E62" s="373"/>
      <c r="F62" s="373"/>
      <c r="G62" s="373"/>
    </row>
    <row r="63" spans="3:7" ht="17.100000000000001" customHeight="1">
      <c r="C63" s="379"/>
      <c r="D63" s="418"/>
      <c r="E63" s="373"/>
      <c r="F63" s="373"/>
      <c r="G63" s="373"/>
    </row>
    <row r="64" spans="3:7" ht="17.100000000000001" customHeight="1">
      <c r="C64" s="379"/>
      <c r="D64" s="418"/>
      <c r="E64" s="373"/>
      <c r="F64" s="373"/>
      <c r="G64" s="373"/>
    </row>
    <row r="65" spans="3:7" ht="17.100000000000001" customHeight="1">
      <c r="C65" s="379"/>
      <c r="D65" s="418"/>
      <c r="E65" s="373"/>
      <c r="F65" s="373"/>
      <c r="G65" s="373"/>
    </row>
    <row r="66" spans="3:7" ht="17.100000000000001" customHeight="1">
      <c r="C66" s="379"/>
      <c r="D66" s="418"/>
      <c r="E66" s="373"/>
      <c r="F66" s="373"/>
      <c r="G66" s="373"/>
    </row>
    <row r="67" spans="3:7" ht="17.100000000000001" customHeight="1">
      <c r="C67" s="379"/>
      <c r="D67" s="418"/>
      <c r="E67" s="373"/>
      <c r="F67" s="373"/>
      <c r="G67" s="373"/>
    </row>
    <row r="68" spans="3:7" ht="17.100000000000001" customHeight="1">
      <c r="C68" s="379"/>
      <c r="D68" s="418"/>
      <c r="E68" s="373"/>
      <c r="F68" s="373"/>
      <c r="G68" s="373"/>
    </row>
    <row r="69" spans="3:7" ht="17.100000000000001" customHeight="1">
      <c r="C69" s="379"/>
      <c r="D69" s="418"/>
      <c r="E69" s="373"/>
      <c r="F69" s="373"/>
      <c r="G69" s="373"/>
    </row>
    <row r="70" spans="3:7" ht="17.100000000000001" customHeight="1">
      <c r="C70" s="379"/>
      <c r="D70" s="418"/>
      <c r="E70" s="373"/>
      <c r="F70" s="373"/>
      <c r="G70" s="373"/>
    </row>
    <row r="71" spans="3:7" ht="17.100000000000001" customHeight="1">
      <c r="C71" s="379"/>
      <c r="D71" s="418"/>
      <c r="E71" s="373"/>
      <c r="F71" s="373"/>
      <c r="G71" s="373"/>
    </row>
    <row r="72" spans="3:7" ht="17.100000000000001" customHeight="1">
      <c r="C72" s="379"/>
      <c r="D72" s="418"/>
      <c r="E72" s="373"/>
    </row>
  </sheetData>
  <mergeCells count="11">
    <mergeCell ref="B19:C19"/>
    <mergeCell ref="B30:C30"/>
    <mergeCell ref="B31:C31"/>
    <mergeCell ref="B34:C34"/>
    <mergeCell ref="B37:C37"/>
    <mergeCell ref="B13:C13"/>
    <mergeCell ref="B2:D2"/>
    <mergeCell ref="B3:D3"/>
    <mergeCell ref="B4:D4"/>
    <mergeCell ref="B7:C7"/>
    <mergeCell ref="B12:C12"/>
  </mergeCells>
  <phoneticPr fontId="6" type="noConversion"/>
  <pageMargins left="0.7" right="0.7" top="0.75" bottom="0.75" header="0.3" footer="0.3"/>
  <pageSetup paperSize="9" scale="85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  <pageSetUpPr fitToPage="1"/>
  </sheetPr>
  <dimension ref="A1:N66"/>
  <sheetViews>
    <sheetView showGridLines="0" view="pageBreakPreview" zoomScale="70" zoomScaleNormal="85" zoomScaleSheetLayoutView="70" workbookViewId="0">
      <selection activeCell="M1" sqref="M1"/>
    </sheetView>
  </sheetViews>
  <sheetFormatPr defaultColWidth="9" defaultRowHeight="16.5"/>
  <cols>
    <col min="1" max="1" width="3.25" style="297" customWidth="1"/>
    <col min="2" max="2" width="14.5" style="297" bestFit="1" customWidth="1"/>
    <col min="3" max="3" width="17.375" style="297" customWidth="1"/>
    <col min="4" max="4" width="18.125" style="297" bestFit="1" customWidth="1"/>
    <col min="5" max="5" width="16.75" style="297" customWidth="1"/>
    <col min="6" max="6" width="4.875" style="297" customWidth="1"/>
    <col min="7" max="7" width="11.25" style="297" bestFit="1" customWidth="1"/>
    <col min="8" max="8" width="17.75" style="297" customWidth="1"/>
    <col min="9" max="10" width="10" style="297" customWidth="1"/>
    <col min="11" max="12" width="10" style="297" bestFit="1" customWidth="1"/>
    <col min="13" max="16384" width="9" style="297"/>
  </cols>
  <sheetData>
    <row r="1" spans="1:13" ht="20.25">
      <c r="A1" s="293" t="s">
        <v>1455</v>
      </c>
      <c r="B1" s="294"/>
      <c r="C1" s="294"/>
      <c r="D1" s="294"/>
      <c r="E1" s="294"/>
      <c r="F1" s="294"/>
      <c r="G1" s="294"/>
      <c r="H1" s="294"/>
      <c r="I1" s="294"/>
      <c r="J1" s="294"/>
      <c r="K1" s="294"/>
      <c r="L1" s="295" t="s">
        <v>2077</v>
      </c>
      <c r="M1" s="296"/>
    </row>
    <row r="2" spans="1:13" ht="16.5" customHeight="1">
      <c r="A2" s="298"/>
      <c r="B2" s="299"/>
      <c r="C2" s="299"/>
      <c r="D2" s="299"/>
      <c r="E2" s="299"/>
      <c r="F2" s="299"/>
      <c r="G2" s="299"/>
      <c r="H2" s="299"/>
      <c r="I2" s="299"/>
      <c r="J2" s="299"/>
      <c r="K2" s="299"/>
      <c r="L2" s="300"/>
      <c r="M2" s="296"/>
    </row>
    <row r="3" spans="1:13">
      <c r="A3" s="419" t="s">
        <v>1456</v>
      </c>
      <c r="B3" s="419"/>
      <c r="C3" s="419"/>
      <c r="D3" s="419"/>
      <c r="E3" s="419"/>
      <c r="F3" s="301"/>
      <c r="G3" s="419" t="s">
        <v>1457</v>
      </c>
      <c r="H3" s="419"/>
      <c r="I3" s="419"/>
      <c r="J3" s="419"/>
      <c r="K3" s="419"/>
      <c r="L3" s="419"/>
    </row>
    <row r="4" spans="1:13">
      <c r="A4" s="302"/>
      <c r="B4" s="302"/>
      <c r="C4" s="302"/>
      <c r="D4" s="302"/>
      <c r="E4" s="302"/>
      <c r="F4" s="302"/>
      <c r="G4" s="302"/>
      <c r="H4" s="302"/>
      <c r="I4" s="302"/>
      <c r="J4" s="302"/>
      <c r="K4" s="302"/>
      <c r="L4" s="302"/>
    </row>
    <row r="5" spans="1:13">
      <c r="A5" s="302"/>
      <c r="B5" s="302" t="s">
        <v>1458</v>
      </c>
      <c r="C5" s="302" t="s">
        <v>1459</v>
      </c>
      <c r="D5" s="302"/>
      <c r="E5" s="302"/>
      <c r="F5" s="302"/>
      <c r="G5" s="303"/>
      <c r="H5" s="302"/>
      <c r="I5" s="302" t="s">
        <v>1460</v>
      </c>
      <c r="J5" s="302" t="s">
        <v>1461</v>
      </c>
      <c r="L5" s="302"/>
    </row>
    <row r="6" spans="1:13">
      <c r="A6" s="302"/>
      <c r="B6" s="302" t="s">
        <v>1462</v>
      </c>
      <c r="C6" s="304">
        <v>42891</v>
      </c>
      <c r="D6" s="302"/>
      <c r="E6" s="302"/>
      <c r="F6" s="302"/>
      <c r="G6" s="303"/>
      <c r="H6" s="302"/>
      <c r="I6" s="302" t="s">
        <v>1463</v>
      </c>
      <c r="J6" s="302" t="s">
        <v>1464</v>
      </c>
      <c r="L6" s="302"/>
    </row>
    <row r="7" spans="1:13">
      <c r="A7" s="302"/>
      <c r="B7" s="297" t="s">
        <v>1465</v>
      </c>
      <c r="C7" s="304">
        <v>44455</v>
      </c>
      <c r="D7" s="302" t="s">
        <v>1466</v>
      </c>
      <c r="E7" s="302"/>
      <c r="F7" s="302"/>
      <c r="G7" s="303"/>
      <c r="H7" s="302"/>
      <c r="I7" s="302" t="s">
        <v>1467</v>
      </c>
      <c r="J7" s="302" t="s">
        <v>1468</v>
      </c>
      <c r="L7" s="302"/>
    </row>
    <row r="8" spans="1:13">
      <c r="A8" s="302"/>
      <c r="B8" s="302" t="s">
        <v>1469</v>
      </c>
      <c r="C8" s="302" t="s">
        <v>1470</v>
      </c>
      <c r="D8" s="302" t="s">
        <v>1471</v>
      </c>
      <c r="E8" s="302"/>
      <c r="F8" s="302"/>
      <c r="G8" s="303"/>
      <c r="H8" s="302"/>
      <c r="I8" s="302" t="s">
        <v>1472</v>
      </c>
      <c r="J8" s="302" t="s">
        <v>1473</v>
      </c>
      <c r="L8" s="302"/>
    </row>
    <row r="9" spans="1:13">
      <c r="A9" s="302"/>
      <c r="B9" s="302" t="s">
        <v>1474</v>
      </c>
      <c r="C9" s="302" t="s">
        <v>589</v>
      </c>
      <c r="D9" s="302"/>
      <c r="E9" s="302"/>
      <c r="F9" s="302"/>
      <c r="G9" s="303"/>
      <c r="H9" s="302"/>
      <c r="I9" s="302" t="s">
        <v>1475</v>
      </c>
      <c r="J9" s="302" t="s">
        <v>1476</v>
      </c>
      <c r="L9" s="302"/>
    </row>
    <row r="10" spans="1:13">
      <c r="A10" s="302"/>
      <c r="B10" s="302" t="s">
        <v>1477</v>
      </c>
      <c r="C10" s="302" t="s">
        <v>1478</v>
      </c>
      <c r="D10" s="302"/>
      <c r="E10" s="302"/>
      <c r="F10" s="302"/>
      <c r="G10" s="303"/>
      <c r="H10" s="302"/>
      <c r="I10" s="302" t="s">
        <v>1479</v>
      </c>
      <c r="J10" s="305">
        <v>7.4305000000000003</v>
      </c>
      <c r="L10" s="302"/>
    </row>
    <row r="11" spans="1:13">
      <c r="A11" s="302"/>
      <c r="B11" s="302" t="s">
        <v>1480</v>
      </c>
      <c r="C11" s="302" t="s">
        <v>1481</v>
      </c>
      <c r="D11" s="302"/>
      <c r="E11" s="302"/>
      <c r="F11" s="302"/>
      <c r="G11" s="303"/>
      <c r="H11" s="302"/>
      <c r="I11" s="302" t="s">
        <v>1482</v>
      </c>
      <c r="J11" s="305">
        <v>0.52400000000000002</v>
      </c>
      <c r="L11" s="302"/>
    </row>
    <row r="12" spans="1:13">
      <c r="A12" s="302"/>
      <c r="B12" s="302" t="s">
        <v>1483</v>
      </c>
      <c r="C12" s="302" t="s">
        <v>1484</v>
      </c>
      <c r="D12" s="302"/>
      <c r="E12" s="302"/>
      <c r="F12" s="302"/>
      <c r="G12" s="303"/>
      <c r="H12" s="302"/>
      <c r="I12" s="302" t="s">
        <v>1485</v>
      </c>
      <c r="J12" s="302" t="s">
        <v>1486</v>
      </c>
      <c r="L12" s="302"/>
    </row>
    <row r="13" spans="1:13">
      <c r="A13" s="302"/>
      <c r="B13" s="302" t="s">
        <v>1487</v>
      </c>
      <c r="C13" s="302" t="s">
        <v>39</v>
      </c>
      <c r="D13" s="302"/>
      <c r="E13" s="302"/>
      <c r="F13" s="302"/>
      <c r="G13" s="303"/>
      <c r="H13" s="302"/>
      <c r="I13" s="302" t="s">
        <v>1488</v>
      </c>
      <c r="J13" s="302" t="s">
        <v>1489</v>
      </c>
      <c r="L13" s="302"/>
    </row>
    <row r="14" spans="1:13">
      <c r="A14" s="302"/>
      <c r="B14" s="302" t="s">
        <v>1490</v>
      </c>
      <c r="C14" s="302" t="s">
        <v>1670</v>
      </c>
      <c r="D14" s="302"/>
      <c r="E14" s="302"/>
      <c r="F14" s="302"/>
      <c r="G14" s="303"/>
      <c r="H14" s="302"/>
      <c r="I14" s="302" t="s">
        <v>1491</v>
      </c>
      <c r="J14" s="302" t="s">
        <v>1492</v>
      </c>
      <c r="L14" s="302"/>
    </row>
    <row r="15" spans="1:13">
      <c r="A15" s="302"/>
      <c r="B15" s="302"/>
      <c r="C15" s="302"/>
      <c r="D15" s="302"/>
      <c r="E15" s="302"/>
      <c r="F15" s="302"/>
      <c r="G15" s="303"/>
      <c r="H15" s="302"/>
      <c r="I15" s="302"/>
      <c r="J15" s="302"/>
      <c r="K15" s="302"/>
      <c r="L15" s="302"/>
    </row>
    <row r="16" spans="1:13">
      <c r="A16" s="419" t="s">
        <v>1665</v>
      </c>
      <c r="B16" s="419"/>
      <c r="C16" s="419"/>
      <c r="D16" s="419"/>
      <c r="E16" s="419"/>
      <c r="F16" s="301"/>
      <c r="G16" s="419" t="s">
        <v>1666</v>
      </c>
      <c r="H16" s="419"/>
      <c r="I16" s="419"/>
      <c r="J16" s="419"/>
      <c r="K16" s="419"/>
      <c r="L16" s="419"/>
    </row>
    <row r="17" spans="1:12">
      <c r="F17" s="302"/>
      <c r="G17" s="302"/>
      <c r="H17" s="302"/>
      <c r="I17" s="302"/>
      <c r="J17" s="302"/>
      <c r="K17" s="302"/>
      <c r="L17" s="302"/>
    </row>
    <row r="18" spans="1:12">
      <c r="A18" s="302"/>
      <c r="B18" s="302" t="s">
        <v>2088</v>
      </c>
      <c r="C18" s="302"/>
      <c r="D18" s="302"/>
      <c r="E18" s="306" t="s">
        <v>1493</v>
      </c>
      <c r="F18" s="302"/>
      <c r="G18" s="297" t="s">
        <v>1494</v>
      </c>
      <c r="L18" s="306" t="s">
        <v>1495</v>
      </c>
    </row>
    <row r="19" spans="1:12">
      <c r="A19" s="302"/>
      <c r="B19" s="307" t="s">
        <v>1496</v>
      </c>
      <c r="C19" s="308">
        <f>SUM(C20:C27)</f>
        <v>405051.7993163871</v>
      </c>
      <c r="D19" s="307" t="s">
        <v>1497</v>
      </c>
      <c r="E19" s="308">
        <f>SUM(E20:E22)</f>
        <v>283854.619863</v>
      </c>
      <c r="F19" s="302"/>
      <c r="G19" s="309" t="s">
        <v>1498</v>
      </c>
      <c r="H19" s="309" t="s">
        <v>1499</v>
      </c>
      <c r="I19" s="309" t="s">
        <v>1500</v>
      </c>
      <c r="J19" s="309" t="s">
        <v>1501</v>
      </c>
      <c r="K19" s="310" t="s">
        <v>107</v>
      </c>
      <c r="L19" s="310"/>
    </row>
    <row r="20" spans="1:12">
      <c r="A20" s="302"/>
      <c r="B20" s="311" t="s">
        <v>1502</v>
      </c>
      <c r="C20" s="312">
        <f>BS!D10/10^6</f>
        <v>6290.4602403870967</v>
      </c>
      <c r="D20" s="311" t="s">
        <v>1503</v>
      </c>
      <c r="E20" s="312">
        <f>BS!D33/10^6</f>
        <v>1917.2860430000001</v>
      </c>
      <c r="F20" s="302"/>
      <c r="G20" s="2447" t="s">
        <v>109</v>
      </c>
      <c r="H20" s="313" t="s">
        <v>108</v>
      </c>
      <c r="I20" s="314">
        <v>188000</v>
      </c>
      <c r="J20" s="2447" t="s">
        <v>1504</v>
      </c>
      <c r="K20" s="2450" t="s">
        <v>1505</v>
      </c>
      <c r="L20" s="2451"/>
    </row>
    <row r="21" spans="1:12">
      <c r="B21" s="311" t="s">
        <v>1506</v>
      </c>
      <c r="C21" s="312">
        <f>BS!D22/10^6</f>
        <v>12295.972610000001</v>
      </c>
      <c r="D21" s="311" t="s">
        <v>1507</v>
      </c>
      <c r="E21" s="312">
        <f>BS!D52/10^6</f>
        <v>13937.33382</v>
      </c>
      <c r="F21" s="302"/>
      <c r="G21" s="2448"/>
      <c r="H21" s="313" t="s">
        <v>1508</v>
      </c>
      <c r="I21" s="314">
        <v>40000</v>
      </c>
      <c r="J21" s="2448"/>
      <c r="K21" s="2452"/>
      <c r="L21" s="2453"/>
    </row>
    <row r="22" spans="1:12">
      <c r="A22" s="302"/>
      <c r="B22" s="311" t="s">
        <v>1509</v>
      </c>
      <c r="C22" s="312">
        <f>BS!D24/10^6</f>
        <v>160120</v>
      </c>
      <c r="D22" s="311" t="s">
        <v>1510</v>
      </c>
      <c r="E22" s="312">
        <f>BS!D51/10^6</f>
        <v>268000</v>
      </c>
      <c r="F22" s="302"/>
      <c r="G22" s="2449"/>
      <c r="H22" s="313" t="s">
        <v>1511</v>
      </c>
      <c r="I22" s="314">
        <v>30000</v>
      </c>
      <c r="J22" s="2449"/>
      <c r="K22" s="2454"/>
      <c r="L22" s="2455"/>
    </row>
    <row r="23" spans="1:12">
      <c r="A23" s="302"/>
      <c r="B23" s="311" t="s">
        <v>1512</v>
      </c>
      <c r="C23" s="312">
        <f>BS!D25/10^6</f>
        <v>240252.47</v>
      </c>
      <c r="D23" s="315" t="s">
        <v>1513</v>
      </c>
      <c r="E23" s="316">
        <f>SUM(E24:E27)</f>
        <v>121197.1794533871</v>
      </c>
      <c r="F23" s="302"/>
      <c r="G23" s="2447" t="s">
        <v>113</v>
      </c>
      <c r="H23" s="313" t="s">
        <v>112</v>
      </c>
      <c r="I23" s="314">
        <v>5000</v>
      </c>
      <c r="J23" s="2447" t="s">
        <v>1514</v>
      </c>
      <c r="K23" s="2450" t="s">
        <v>1505</v>
      </c>
      <c r="L23" s="2451"/>
    </row>
    <row r="24" spans="1:12">
      <c r="A24" s="302"/>
      <c r="B24" s="311" t="s">
        <v>1515</v>
      </c>
      <c r="C24" s="312">
        <f>BS!D26/10^6</f>
        <v>-14539.391877</v>
      </c>
      <c r="D24" s="311" t="s">
        <v>1516</v>
      </c>
      <c r="E24" s="312">
        <f>BS!D55/10^6</f>
        <v>12700</v>
      </c>
      <c r="F24" s="302"/>
      <c r="G24" s="2449"/>
      <c r="H24" s="313" t="s">
        <v>114</v>
      </c>
      <c r="I24" s="314">
        <v>5000</v>
      </c>
      <c r="J24" s="2449"/>
      <c r="K24" s="2454"/>
      <c r="L24" s="2455"/>
    </row>
    <row r="25" spans="1:12">
      <c r="A25" s="302"/>
      <c r="B25" s="311" t="s">
        <v>1517</v>
      </c>
      <c r="C25" s="312">
        <f>BS!D28/10^6</f>
        <v>632.28834300000005</v>
      </c>
      <c r="D25" s="311" t="s">
        <v>1518</v>
      </c>
      <c r="E25" s="312">
        <f>BS!D63/10^6</f>
        <v>33001.343350000003</v>
      </c>
      <c r="F25" s="302"/>
      <c r="G25" s="310" t="s">
        <v>673</v>
      </c>
      <c r="H25" s="310"/>
      <c r="I25" s="317">
        <f>SUM(I20:I24)</f>
        <v>268000</v>
      </c>
      <c r="J25" s="318" t="s">
        <v>1519</v>
      </c>
      <c r="K25" s="319"/>
      <c r="L25" s="320"/>
    </row>
    <row r="26" spans="1:12">
      <c r="A26" s="302"/>
      <c r="B26" s="311"/>
      <c r="C26" s="312"/>
      <c r="D26" s="311" t="s">
        <v>1520</v>
      </c>
      <c r="E26" s="312">
        <f>BS!D65/10^6</f>
        <v>100101.092722</v>
      </c>
      <c r="F26" s="302"/>
      <c r="G26" s="302"/>
      <c r="H26" s="302"/>
      <c r="I26" s="302"/>
      <c r="J26" s="302"/>
      <c r="K26" s="302"/>
      <c r="L26" s="302"/>
    </row>
    <row r="27" spans="1:12">
      <c r="A27" s="302"/>
      <c r="B27" s="311"/>
      <c r="C27" s="312"/>
      <c r="D27" s="311" t="s">
        <v>1521</v>
      </c>
      <c r="E27" s="312">
        <f>BS!D67/10^6</f>
        <v>-24605.256618612904</v>
      </c>
      <c r="F27" s="302"/>
      <c r="G27" s="302" t="s">
        <v>1522</v>
      </c>
      <c r="H27" s="302"/>
      <c r="I27" s="302"/>
      <c r="J27" s="302"/>
      <c r="K27" s="302"/>
      <c r="L27" s="306" t="s">
        <v>1495</v>
      </c>
    </row>
    <row r="28" spans="1:12">
      <c r="A28" s="302"/>
      <c r="B28" s="321" t="s">
        <v>1523</v>
      </c>
      <c r="C28" s="322">
        <f>C19</f>
        <v>405051.7993163871</v>
      </c>
      <c r="D28" s="321" t="s">
        <v>1524</v>
      </c>
      <c r="E28" s="322">
        <f>E19+E23</f>
        <v>405051.7993163871</v>
      </c>
      <c r="F28" s="323"/>
      <c r="G28" s="309" t="s">
        <v>1498</v>
      </c>
      <c r="H28" s="309" t="s">
        <v>1064</v>
      </c>
      <c r="I28" s="309" t="s">
        <v>1525</v>
      </c>
      <c r="J28" s="309" t="s">
        <v>1526</v>
      </c>
      <c r="K28" s="310" t="s">
        <v>117</v>
      </c>
      <c r="L28" s="310"/>
    </row>
    <row r="29" spans="1:12">
      <c r="A29" s="302"/>
      <c r="B29" s="302"/>
      <c r="C29" s="302"/>
      <c r="D29" s="302"/>
      <c r="E29" s="302"/>
      <c r="F29" s="302"/>
      <c r="G29" s="313" t="s">
        <v>1527</v>
      </c>
      <c r="H29" s="2459">
        <v>4934.6000000000004</v>
      </c>
      <c r="I29" s="324">
        <v>1816</v>
      </c>
      <c r="J29" s="325">
        <f>H29/I29</f>
        <v>2.7172907488986788</v>
      </c>
      <c r="K29" s="2456" t="s">
        <v>2054</v>
      </c>
      <c r="L29" s="2451"/>
    </row>
    <row r="30" spans="1:12">
      <c r="A30" s="302"/>
      <c r="B30" s="302" t="s">
        <v>2089</v>
      </c>
      <c r="C30" s="302"/>
      <c r="D30" s="302"/>
      <c r="E30" s="306" t="s">
        <v>1495</v>
      </c>
      <c r="F30" s="302"/>
      <c r="G30" s="313" t="s">
        <v>1528</v>
      </c>
      <c r="H30" s="2460"/>
      <c r="I30" s="324">
        <v>108</v>
      </c>
      <c r="J30" s="325">
        <f>H29/(I30+I29)</f>
        <v>2.5647609147609152</v>
      </c>
      <c r="K30" s="2454"/>
      <c r="L30" s="2455"/>
    </row>
    <row r="31" spans="1:12">
      <c r="A31" s="302"/>
      <c r="B31" s="307" t="s">
        <v>1529</v>
      </c>
      <c r="C31" s="326"/>
      <c r="D31" s="326"/>
      <c r="E31" s="308">
        <f>SUM(E32:E34)</f>
        <v>2062.278609</v>
      </c>
      <c r="F31" s="302"/>
      <c r="G31" s="302"/>
      <c r="H31" s="302"/>
      <c r="I31" s="302"/>
      <c r="J31" s="302"/>
      <c r="K31" s="302"/>
      <c r="L31" s="302"/>
    </row>
    <row r="32" spans="1:12">
      <c r="A32" s="302"/>
      <c r="B32" s="311" t="s">
        <v>1530</v>
      </c>
      <c r="C32" s="327"/>
      <c r="D32" s="327"/>
      <c r="E32" s="312">
        <f>PL!D8/10^6</f>
        <v>1100.52007</v>
      </c>
      <c r="F32" s="302"/>
      <c r="G32" s="419" t="s">
        <v>1667</v>
      </c>
      <c r="H32" s="419"/>
      <c r="I32" s="419"/>
      <c r="J32" s="419"/>
      <c r="K32" s="419"/>
      <c r="L32" s="419"/>
    </row>
    <row r="33" spans="1:12">
      <c r="A33" s="302"/>
      <c r="B33" s="311" t="s">
        <v>1531</v>
      </c>
      <c r="C33" s="327"/>
      <c r="D33" s="327"/>
      <c r="E33" s="312">
        <f>PL!D9/10^6</f>
        <v>927.07453999999996</v>
      </c>
      <c r="F33" s="302"/>
      <c r="L33" s="306" t="s">
        <v>1532</v>
      </c>
    </row>
    <row r="34" spans="1:12">
      <c r="A34" s="302"/>
      <c r="B34" s="311" t="s">
        <v>1533</v>
      </c>
      <c r="C34" s="327"/>
      <c r="D34" s="327"/>
      <c r="E34" s="312">
        <f>PL!D10/10^6</f>
        <v>34.683999</v>
      </c>
      <c r="F34" s="302"/>
      <c r="G34" s="2457" t="s">
        <v>102</v>
      </c>
      <c r="H34" s="2457"/>
      <c r="I34" s="309" t="s">
        <v>2055</v>
      </c>
      <c r="J34" s="949" t="s">
        <v>1534</v>
      </c>
      <c r="K34" s="949" t="s">
        <v>1535</v>
      </c>
      <c r="L34" s="949" t="s">
        <v>1536</v>
      </c>
    </row>
    <row r="35" spans="1:12">
      <c r="A35" s="302"/>
      <c r="B35" s="315" t="s">
        <v>1537</v>
      </c>
      <c r="C35" s="328"/>
      <c r="D35" s="328"/>
      <c r="E35" s="316">
        <f>SUM(E36:E42)</f>
        <v>1085.636031</v>
      </c>
      <c r="F35" s="302"/>
      <c r="G35" s="2457"/>
      <c r="H35" s="2457"/>
      <c r="I35" s="309" t="s">
        <v>2056</v>
      </c>
      <c r="J35" s="949" t="s">
        <v>1538</v>
      </c>
      <c r="K35" s="949" t="s">
        <v>1539</v>
      </c>
      <c r="L35" s="949" t="s">
        <v>1540</v>
      </c>
    </row>
    <row r="36" spans="1:12">
      <c r="A36" s="302"/>
      <c r="B36" s="311" t="s">
        <v>1541</v>
      </c>
      <c r="C36" s="327"/>
      <c r="D36" s="327"/>
      <c r="E36" s="312">
        <f>SUM(PL!D14:D15)/10^6</f>
        <v>132.02012999999999</v>
      </c>
      <c r="F36" s="302"/>
      <c r="G36" s="2458" t="s">
        <v>1542</v>
      </c>
      <c r="H36" s="329" t="s">
        <v>1543</v>
      </c>
      <c r="I36" s="314">
        <v>3611</v>
      </c>
      <c r="J36" s="314">
        <v>3256</v>
      </c>
      <c r="K36" s="314">
        <v>3511</v>
      </c>
      <c r="L36" s="314">
        <v>3176</v>
      </c>
    </row>
    <row r="37" spans="1:12">
      <c r="A37" s="302"/>
      <c r="B37" s="311" t="s">
        <v>1544</v>
      </c>
      <c r="C37" s="327"/>
      <c r="D37" s="327"/>
      <c r="E37" s="312">
        <f>SUM(PL!D16:D18)/10^6</f>
        <v>408.25726500000002</v>
      </c>
      <c r="F37" s="302"/>
      <c r="G37" s="2458"/>
      <c r="H37" s="329" t="s">
        <v>1545</v>
      </c>
      <c r="I37" s="330">
        <v>7.85E-2</v>
      </c>
      <c r="J37" s="330">
        <v>7.0800000000000002E-2</v>
      </c>
      <c r="K37" s="330">
        <v>7.6300000000000007E-2</v>
      </c>
      <c r="L37" s="330">
        <v>6.9000000000000006E-2</v>
      </c>
    </row>
    <row r="38" spans="1:12">
      <c r="A38" s="302"/>
      <c r="B38" s="311" t="s">
        <v>1546</v>
      </c>
      <c r="C38" s="327"/>
      <c r="D38" s="327"/>
      <c r="E38" s="312">
        <f>PL!D21/10^6</f>
        <v>433.55828400000001</v>
      </c>
      <c r="F38" s="302"/>
      <c r="G38" s="2458" t="s">
        <v>1547</v>
      </c>
      <c r="H38" s="329" t="s">
        <v>1548</v>
      </c>
      <c r="I38" s="314">
        <v>985</v>
      </c>
      <c r="J38" s="314">
        <v>908</v>
      </c>
      <c r="K38" s="314">
        <v>963</v>
      </c>
      <c r="L38" s="314">
        <v>891</v>
      </c>
    </row>
    <row r="39" spans="1:12">
      <c r="A39" s="302"/>
      <c r="B39" s="311" t="s">
        <v>1549</v>
      </c>
      <c r="C39" s="327"/>
      <c r="D39" s="327"/>
      <c r="E39" s="312">
        <f>PL!D22/10^6</f>
        <v>2.3853900000000001</v>
      </c>
      <c r="F39" s="302"/>
      <c r="G39" s="2458"/>
      <c r="H39" s="329" t="s">
        <v>1545</v>
      </c>
      <c r="I39" s="330">
        <v>9.8599999999999993E-2</v>
      </c>
      <c r="J39" s="330">
        <v>9.0800000000000006E-2</v>
      </c>
      <c r="K39" s="330">
        <v>9.6299999999999997E-2</v>
      </c>
      <c r="L39" s="330">
        <v>8.9099999999999999E-2</v>
      </c>
    </row>
    <row r="40" spans="1:12">
      <c r="A40" s="302"/>
      <c r="B40" s="311" t="s">
        <v>1550</v>
      </c>
      <c r="C40" s="327"/>
      <c r="D40" s="327"/>
      <c r="E40" s="312">
        <f>SUM(PL!D20,PL!D23:D26)/10^6</f>
        <v>39.841206999999997</v>
      </c>
      <c r="F40" s="302"/>
      <c r="G40" s="2458" t="s">
        <v>1551</v>
      </c>
      <c r="H40" s="329" t="s">
        <v>1548</v>
      </c>
      <c r="I40" s="314">
        <v>618</v>
      </c>
      <c r="J40" s="314">
        <v>561</v>
      </c>
      <c r="K40" s="314">
        <v>602</v>
      </c>
      <c r="L40" s="314">
        <v>548</v>
      </c>
    </row>
    <row r="41" spans="1:12">
      <c r="A41" s="302"/>
      <c r="B41" s="311" t="s">
        <v>1552</v>
      </c>
      <c r="C41" s="327"/>
      <c r="D41" s="327"/>
      <c r="E41" s="312">
        <f>SUM(PL!D27:D28)/10^6</f>
        <v>69.309415000000001</v>
      </c>
      <c r="F41" s="302"/>
      <c r="G41" s="2458"/>
      <c r="H41" s="329" t="s">
        <v>1545</v>
      </c>
      <c r="I41" s="330">
        <v>8.2500000000000004E-2</v>
      </c>
      <c r="J41" s="330">
        <v>7.4800000000000005E-2</v>
      </c>
      <c r="K41" s="330">
        <v>8.0299999999999996E-2</v>
      </c>
      <c r="L41" s="330">
        <v>7.3099999999999998E-2</v>
      </c>
    </row>
    <row r="42" spans="1:12">
      <c r="A42" s="302"/>
      <c r="B42" s="311" t="s">
        <v>1553</v>
      </c>
      <c r="C42" s="327"/>
      <c r="D42" s="327"/>
      <c r="E42" s="331">
        <f>PL!D29/10^6</f>
        <v>0.26434000000000002</v>
      </c>
      <c r="F42" s="302"/>
      <c r="G42" s="302" t="s">
        <v>1554</v>
      </c>
      <c r="H42" s="302"/>
      <c r="I42" s="302"/>
      <c r="J42" s="302"/>
      <c r="K42" s="302"/>
      <c r="L42" s="302"/>
    </row>
    <row r="43" spans="1:12">
      <c r="A43" s="302"/>
      <c r="B43" s="315" t="s">
        <v>1555</v>
      </c>
      <c r="C43" s="328"/>
      <c r="D43" s="328"/>
      <c r="E43" s="316">
        <f>E31-E35</f>
        <v>976.64257799999996</v>
      </c>
      <c r="F43" s="302"/>
    </row>
    <row r="44" spans="1:12">
      <c r="A44" s="302"/>
      <c r="B44" s="315" t="s">
        <v>1556</v>
      </c>
      <c r="C44" s="328"/>
      <c r="D44" s="328"/>
      <c r="E44" s="316">
        <f>E45</f>
        <v>42.936615000000003</v>
      </c>
      <c r="F44" s="302"/>
      <c r="G44" s="419" t="s">
        <v>1668</v>
      </c>
      <c r="H44" s="419"/>
      <c r="I44" s="419"/>
      <c r="J44" s="419"/>
      <c r="K44" s="419"/>
      <c r="L44" s="419"/>
    </row>
    <row r="45" spans="1:12">
      <c r="A45" s="302"/>
      <c r="B45" s="311" t="s">
        <v>1557</v>
      </c>
      <c r="C45" s="327"/>
      <c r="D45" s="327"/>
      <c r="E45" s="312">
        <f>PL!D31/10^6</f>
        <v>42.936615000000003</v>
      </c>
      <c r="F45" s="302"/>
      <c r="G45" s="309" t="s">
        <v>102</v>
      </c>
      <c r="H45" s="309" t="s">
        <v>1558</v>
      </c>
      <c r="I45" s="318" t="s">
        <v>117</v>
      </c>
      <c r="J45" s="319"/>
      <c r="K45" s="319"/>
      <c r="L45" s="320"/>
    </row>
    <row r="46" spans="1:12">
      <c r="A46" s="302"/>
      <c r="B46" s="315" t="s">
        <v>1559</v>
      </c>
      <c r="C46" s="328"/>
      <c r="D46" s="328"/>
      <c r="E46" s="316">
        <f>E47</f>
        <v>627.37704599999995</v>
      </c>
      <c r="F46" s="302"/>
      <c r="G46" s="313" t="s">
        <v>1560</v>
      </c>
      <c r="H46" s="332">
        <v>7.0000000000000001E-3</v>
      </c>
      <c r="I46" s="333" t="s">
        <v>1561</v>
      </c>
      <c r="J46" s="334"/>
      <c r="K46" s="334"/>
      <c r="L46" s="335"/>
    </row>
    <row r="47" spans="1:12">
      <c r="A47" s="302"/>
      <c r="B47" s="311" t="s">
        <v>1562</v>
      </c>
      <c r="C47" s="327"/>
      <c r="D47" s="327"/>
      <c r="E47" s="312">
        <f>PL!D34/10^6</f>
        <v>627.37704599999995</v>
      </c>
      <c r="F47" s="302"/>
      <c r="G47" s="313" t="s">
        <v>1563</v>
      </c>
      <c r="H47" s="313" t="s">
        <v>1564</v>
      </c>
      <c r="I47" s="333" t="s">
        <v>1565</v>
      </c>
      <c r="J47" s="334"/>
      <c r="K47" s="334"/>
      <c r="L47" s="335"/>
    </row>
    <row r="48" spans="1:12">
      <c r="B48" s="321" t="s">
        <v>1566</v>
      </c>
      <c r="C48" s="336"/>
      <c r="D48" s="336"/>
      <c r="E48" s="322">
        <f>E43+E44-E46</f>
        <v>392.20214699999997</v>
      </c>
      <c r="G48" s="313" t="s">
        <v>1567</v>
      </c>
      <c r="H48" s="313" t="s">
        <v>1568</v>
      </c>
      <c r="I48" s="333" t="s">
        <v>1569</v>
      </c>
      <c r="J48" s="334"/>
      <c r="K48" s="334"/>
      <c r="L48" s="335"/>
    </row>
    <row r="49" spans="1:14">
      <c r="G49" s="313" t="s">
        <v>1570</v>
      </c>
      <c r="H49" s="337" t="s">
        <v>1571</v>
      </c>
      <c r="I49" s="333"/>
      <c r="J49" s="334"/>
      <c r="K49" s="334"/>
      <c r="L49" s="335"/>
    </row>
    <row r="51" spans="1:14">
      <c r="A51" s="419" t="s">
        <v>2090</v>
      </c>
      <c r="B51" s="419"/>
      <c r="C51" s="419"/>
      <c r="D51" s="419"/>
      <c r="E51" s="419"/>
      <c r="F51" s="301"/>
      <c r="G51" s="419" t="s">
        <v>1669</v>
      </c>
      <c r="H51" s="419"/>
      <c r="I51" s="419"/>
      <c r="J51" s="419"/>
      <c r="K51" s="419"/>
      <c r="L51" s="419"/>
    </row>
    <row r="52" spans="1:14">
      <c r="E52" s="306" t="s">
        <v>1495</v>
      </c>
      <c r="H52" s="338"/>
      <c r="I52" s="338"/>
      <c r="J52" s="338"/>
      <c r="K52" s="338"/>
      <c r="L52" s="338"/>
    </row>
    <row r="53" spans="1:14">
      <c r="B53" s="307" t="s">
        <v>1573</v>
      </c>
      <c r="C53" s="326"/>
      <c r="D53" s="326"/>
      <c r="E53" s="308">
        <f>SUM(E54:E57)</f>
        <v>2105.215224</v>
      </c>
      <c r="G53" s="964" t="s">
        <v>2057</v>
      </c>
      <c r="H53" s="338"/>
      <c r="I53" s="338"/>
      <c r="J53" s="338"/>
      <c r="K53" s="338"/>
      <c r="L53" s="338"/>
    </row>
    <row r="54" spans="1:14">
      <c r="B54" s="311" t="s">
        <v>1574</v>
      </c>
      <c r="C54" s="327"/>
      <c r="D54" s="327"/>
      <c r="E54" s="312">
        <f>E32</f>
        <v>1100.52007</v>
      </c>
      <c r="G54" s="964" t="s">
        <v>2058</v>
      </c>
      <c r="H54" s="338"/>
      <c r="I54" s="338"/>
    </row>
    <row r="55" spans="1:14">
      <c r="B55" s="311" t="s">
        <v>1531</v>
      </c>
      <c r="C55" s="327"/>
      <c r="D55" s="327"/>
      <c r="E55" s="312">
        <f>E33</f>
        <v>927.07453999999996</v>
      </c>
      <c r="G55" s="964" t="s">
        <v>2075</v>
      </c>
    </row>
    <row r="56" spans="1:14">
      <c r="B56" s="311" t="s">
        <v>1533</v>
      </c>
      <c r="C56" s="327"/>
      <c r="D56" s="327"/>
      <c r="E56" s="312">
        <f>E34</f>
        <v>34.683999</v>
      </c>
      <c r="G56" s="965" t="s">
        <v>2059</v>
      </c>
    </row>
    <row r="57" spans="1:14">
      <c r="B57" s="311" t="s">
        <v>1575</v>
      </c>
      <c r="C57" s="327"/>
      <c r="D57" s="327"/>
      <c r="E57" s="312">
        <f>E45</f>
        <v>42.936615000000003</v>
      </c>
      <c r="G57" s="965" t="s">
        <v>2060</v>
      </c>
    </row>
    <row r="58" spans="1:14">
      <c r="B58" s="315" t="s">
        <v>1576</v>
      </c>
      <c r="C58" s="328"/>
      <c r="D58" s="328"/>
      <c r="E58" s="316">
        <f>SUM(E59:E63)</f>
        <v>612.2365400000001</v>
      </c>
      <c r="G58" s="965" t="s">
        <v>2074</v>
      </c>
    </row>
    <row r="59" spans="1:14">
      <c r="B59" s="311" t="s">
        <v>1541</v>
      </c>
      <c r="C59" s="327"/>
      <c r="D59" s="327"/>
      <c r="E59" s="312">
        <f>E36</f>
        <v>132.02012999999999</v>
      </c>
      <c r="G59" s="965" t="s">
        <v>2061</v>
      </c>
    </row>
    <row r="60" spans="1:14">
      <c r="B60" s="311" t="s">
        <v>1577</v>
      </c>
      <c r="C60" s="327"/>
      <c r="D60" s="327"/>
      <c r="E60" s="312">
        <f>E37</f>
        <v>408.25726500000002</v>
      </c>
      <c r="G60" s="2444" t="s">
        <v>2062</v>
      </c>
      <c r="H60" s="2445"/>
      <c r="I60" s="966" t="s">
        <v>2063</v>
      </c>
      <c r="J60" s="2444" t="s">
        <v>2064</v>
      </c>
      <c r="K60" s="2445"/>
      <c r="L60" s="966" t="s">
        <v>2065</v>
      </c>
    </row>
    <row r="61" spans="1:14">
      <c r="B61" s="311" t="s">
        <v>1578</v>
      </c>
      <c r="C61" s="327"/>
      <c r="D61" s="327"/>
      <c r="E61" s="312">
        <f>E39</f>
        <v>2.3853900000000001</v>
      </c>
      <c r="G61" s="2461" t="s">
        <v>2068</v>
      </c>
      <c r="H61" s="2462"/>
      <c r="I61" s="967">
        <v>32</v>
      </c>
      <c r="J61" s="2442" t="s">
        <v>2071</v>
      </c>
      <c r="K61" s="2443"/>
      <c r="L61" s="313" t="s">
        <v>2066</v>
      </c>
    </row>
    <row r="62" spans="1:14">
      <c r="B62" s="311" t="s">
        <v>1552</v>
      </c>
      <c r="C62" s="338"/>
      <c r="D62" s="338"/>
      <c r="E62" s="339">
        <f>E41</f>
        <v>69.309415000000001</v>
      </c>
      <c r="G62" s="2440" t="s">
        <v>2069</v>
      </c>
      <c r="H62" s="2441"/>
      <c r="I62" s="967">
        <v>10</v>
      </c>
      <c r="J62" s="2442" t="s">
        <v>2073</v>
      </c>
      <c r="K62" s="2443"/>
      <c r="L62" s="313" t="s">
        <v>2067</v>
      </c>
    </row>
    <row r="63" spans="1:14">
      <c r="B63" s="311" t="s">
        <v>1553</v>
      </c>
      <c r="C63" s="338"/>
      <c r="D63" s="338"/>
      <c r="E63" s="420">
        <f>E42</f>
        <v>0.26434000000000002</v>
      </c>
      <c r="G63" s="2440" t="s">
        <v>2070</v>
      </c>
      <c r="H63" s="2441"/>
      <c r="I63" s="967">
        <v>9</v>
      </c>
      <c r="J63" s="2442" t="s">
        <v>2071</v>
      </c>
      <c r="K63" s="2443"/>
      <c r="L63" s="313" t="s">
        <v>2067</v>
      </c>
      <c r="N63" s="968" t="s">
        <v>2072</v>
      </c>
    </row>
    <row r="64" spans="1:14">
      <c r="B64" s="321" t="s">
        <v>1572</v>
      </c>
      <c r="C64" s="336"/>
      <c r="D64" s="336"/>
      <c r="E64" s="322">
        <f>E53-E58</f>
        <v>1492.9786839999999</v>
      </c>
      <c r="G64" s="969"/>
      <c r="H64" s="970"/>
      <c r="I64" s="970"/>
      <c r="J64" s="2446"/>
      <c r="K64" s="2446"/>
      <c r="L64" s="969"/>
    </row>
    <row r="66" spans="1:12" ht="17.25">
      <c r="A66" s="340" t="str">
        <f>A1</f>
        <v>[KB1 REIT] Monthly Report Summary</v>
      </c>
      <c r="B66" s="294"/>
      <c r="C66" s="294"/>
      <c r="D66" s="294"/>
      <c r="E66" s="294"/>
      <c r="F66" s="294"/>
      <c r="G66" s="294"/>
      <c r="H66" s="294"/>
      <c r="I66" s="294"/>
      <c r="J66" s="294"/>
      <c r="K66" s="294"/>
      <c r="L66" s="295" t="str">
        <f>L1</f>
        <v>2024년 7월</v>
      </c>
    </row>
  </sheetData>
  <mergeCells count="21">
    <mergeCell ref="J64:K64"/>
    <mergeCell ref="G20:G22"/>
    <mergeCell ref="J20:J22"/>
    <mergeCell ref="K20:L22"/>
    <mergeCell ref="G23:G24"/>
    <mergeCell ref="J23:J24"/>
    <mergeCell ref="K23:L24"/>
    <mergeCell ref="K29:L30"/>
    <mergeCell ref="G34:H35"/>
    <mergeCell ref="G36:G37"/>
    <mergeCell ref="G38:G39"/>
    <mergeCell ref="G40:G41"/>
    <mergeCell ref="H29:H30"/>
    <mergeCell ref="G60:H60"/>
    <mergeCell ref="G61:H61"/>
    <mergeCell ref="G62:H62"/>
    <mergeCell ref="G63:H63"/>
    <mergeCell ref="J61:K61"/>
    <mergeCell ref="J60:K60"/>
    <mergeCell ref="J62:K62"/>
    <mergeCell ref="J63:K63"/>
  </mergeCells>
  <phoneticPr fontId="6" type="noConversion"/>
  <pageMargins left="0.7" right="0.7" top="0.75" bottom="0.75" header="0.3" footer="0.3"/>
  <pageSetup paperSize="9" scale="56" fitToHeight="0" orientation="portrait" r:id="rId1"/>
  <ignoredErrors>
    <ignoredError sqref="E36:E44" formulaRange="1"/>
    <ignoredError sqref="E45" formula="1" formulaRange="1"/>
  </ignoredError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35"/>
  <sheetViews>
    <sheetView showGridLines="0" view="pageBreakPreview" zoomScale="70" zoomScaleNormal="70" zoomScaleSheetLayoutView="70" workbookViewId="0">
      <selection activeCell="J2" sqref="J2"/>
    </sheetView>
  </sheetViews>
  <sheetFormatPr defaultColWidth="8.75" defaultRowHeight="15"/>
  <cols>
    <col min="1" max="1" width="2.75" style="926" customWidth="1"/>
    <col min="2" max="8" width="11.75" style="926" customWidth="1"/>
    <col min="9" max="9" width="2.75" style="926" customWidth="1"/>
    <col min="10" max="16384" width="8.75" style="926"/>
  </cols>
  <sheetData>
    <row r="2" spans="1:9" ht="20.25">
      <c r="A2" s="927"/>
      <c r="B2" s="927"/>
      <c r="C2" s="927"/>
      <c r="D2" s="927"/>
      <c r="E2" s="927"/>
      <c r="F2" s="927"/>
      <c r="G2" s="927"/>
      <c r="H2" s="927"/>
      <c r="I2" s="927"/>
    </row>
    <row r="3" spans="1:9" ht="20.25">
      <c r="A3" s="927" t="s">
        <v>2052</v>
      </c>
      <c r="B3" s="927"/>
      <c r="C3" s="927"/>
      <c r="D3" s="927"/>
      <c r="E3" s="927"/>
      <c r="F3" s="927"/>
      <c r="G3" s="927"/>
      <c r="H3" s="927"/>
      <c r="I3" s="927"/>
    </row>
    <row r="4" spans="1:9" ht="20.25">
      <c r="A4" s="927"/>
      <c r="B4" s="927"/>
      <c r="C4" s="927"/>
      <c r="D4" s="927"/>
      <c r="E4" s="927"/>
      <c r="F4" s="927"/>
      <c r="G4" s="927"/>
      <c r="H4" s="927"/>
      <c r="I4" s="927"/>
    </row>
    <row r="5" spans="1:9">
      <c r="A5" s="928"/>
      <c r="B5" s="929"/>
      <c r="C5" s="930"/>
      <c r="D5" s="929"/>
      <c r="E5" s="930"/>
      <c r="F5" s="931"/>
      <c r="G5" s="931"/>
      <c r="H5" s="931"/>
      <c r="I5" s="932"/>
    </row>
    <row r="6" spans="1:9" ht="25.15" customHeight="1">
      <c r="A6" s="928"/>
      <c r="B6" s="933" t="s">
        <v>2050</v>
      </c>
      <c r="C6" s="934"/>
      <c r="D6" s="935"/>
      <c r="E6" s="934"/>
      <c r="F6" s="936"/>
      <c r="G6" s="936"/>
      <c r="H6" s="936"/>
      <c r="I6" s="932"/>
    </row>
    <row r="7" spans="1:9" ht="25.15" customHeight="1">
      <c r="A7" s="928"/>
      <c r="B7" s="937"/>
      <c r="C7" s="929" t="s">
        <v>1</v>
      </c>
      <c r="D7" s="929"/>
      <c r="E7" s="930"/>
      <c r="F7" s="931"/>
      <c r="G7" s="931"/>
      <c r="H7" s="931"/>
      <c r="I7" s="932"/>
    </row>
    <row r="8" spans="1:9" ht="25.15" customHeight="1">
      <c r="A8" s="928"/>
      <c r="B8" s="938"/>
      <c r="C8" s="939" t="s">
        <v>2</v>
      </c>
      <c r="D8" s="939"/>
      <c r="E8" s="930"/>
      <c r="F8" s="931"/>
      <c r="G8" s="931"/>
      <c r="H8" s="931"/>
      <c r="I8" s="932"/>
    </row>
    <row r="9" spans="1:9" ht="25.15" customHeight="1">
      <c r="A9" s="928"/>
      <c r="B9" s="938"/>
      <c r="C9" s="939" t="s">
        <v>3</v>
      </c>
      <c r="D9" s="939"/>
      <c r="E9" s="930"/>
      <c r="F9" s="931"/>
      <c r="G9" s="931"/>
      <c r="H9" s="931"/>
      <c r="I9" s="932"/>
    </row>
    <row r="10" spans="1:9" ht="11.45" customHeight="1">
      <c r="A10" s="928"/>
      <c r="B10" s="929"/>
      <c r="C10" s="930"/>
      <c r="D10" s="929"/>
      <c r="E10" s="930"/>
      <c r="F10" s="931"/>
      <c r="G10" s="931"/>
      <c r="H10" s="931"/>
      <c r="I10" s="940"/>
    </row>
    <row r="11" spans="1:9" ht="25.15" customHeight="1">
      <c r="A11" s="928"/>
      <c r="B11" s="933" t="s">
        <v>4</v>
      </c>
      <c r="C11" s="934"/>
      <c r="D11" s="941"/>
      <c r="E11" s="934"/>
      <c r="F11" s="936"/>
      <c r="G11" s="936"/>
      <c r="H11" s="936"/>
      <c r="I11" s="932"/>
    </row>
    <row r="12" spans="1:9" ht="25.15" customHeight="1">
      <c r="A12" s="928"/>
      <c r="B12" s="930"/>
      <c r="C12" s="942" t="s">
        <v>608</v>
      </c>
      <c r="D12" s="942"/>
      <c r="E12" s="930"/>
      <c r="F12" s="931"/>
      <c r="G12" s="931"/>
      <c r="H12" s="931"/>
      <c r="I12" s="932"/>
    </row>
    <row r="13" spans="1:9" ht="25.15" customHeight="1">
      <c r="A13" s="928"/>
      <c r="B13" s="938"/>
      <c r="C13" s="929" t="s">
        <v>609</v>
      </c>
      <c r="D13" s="929"/>
      <c r="E13" s="930"/>
      <c r="F13" s="931"/>
      <c r="G13" s="931"/>
      <c r="H13" s="931"/>
      <c r="I13" s="932"/>
    </row>
    <row r="14" spans="1:9" ht="25.15" customHeight="1">
      <c r="A14" s="928"/>
      <c r="B14" s="938"/>
      <c r="C14" s="929" t="s">
        <v>637</v>
      </c>
      <c r="D14" s="929"/>
      <c r="E14" s="930"/>
      <c r="F14" s="931"/>
      <c r="G14" s="931"/>
      <c r="H14" s="931"/>
      <c r="I14" s="932"/>
    </row>
    <row r="15" spans="1:9" ht="25.15" customHeight="1">
      <c r="A15" s="928"/>
      <c r="B15" s="929"/>
      <c r="C15" s="929" t="s">
        <v>638</v>
      </c>
      <c r="D15" s="929"/>
      <c r="E15" s="930"/>
      <c r="F15" s="931"/>
      <c r="G15" s="931"/>
      <c r="H15" s="931"/>
      <c r="I15" s="932"/>
    </row>
    <row r="16" spans="1:9" ht="25.15" customHeight="1">
      <c r="A16" s="928"/>
      <c r="B16" s="929"/>
      <c r="C16" s="929" t="s">
        <v>677</v>
      </c>
      <c r="D16" s="929"/>
      <c r="E16" s="930"/>
      <c r="F16" s="931"/>
      <c r="G16" s="931"/>
      <c r="H16" s="931"/>
      <c r="I16" s="932"/>
    </row>
    <row r="17" spans="1:9" ht="13.9" customHeight="1">
      <c r="A17" s="928"/>
      <c r="B17" s="929"/>
      <c r="C17" s="930"/>
      <c r="D17" s="929"/>
      <c r="E17" s="930"/>
      <c r="F17" s="931"/>
      <c r="G17" s="931"/>
      <c r="H17" s="931"/>
      <c r="I17" s="940"/>
    </row>
    <row r="18" spans="1:9" ht="25.15" customHeight="1">
      <c r="A18" s="928"/>
      <c r="B18" s="933" t="s">
        <v>565</v>
      </c>
      <c r="C18" s="934"/>
      <c r="D18" s="941"/>
      <c r="E18" s="934"/>
      <c r="F18" s="936"/>
      <c r="G18" s="936"/>
      <c r="H18" s="936"/>
      <c r="I18" s="932"/>
    </row>
    <row r="19" spans="1:9" ht="25.15" customHeight="1">
      <c r="A19" s="928"/>
      <c r="B19" s="938"/>
      <c r="C19" s="929" t="s">
        <v>701</v>
      </c>
      <c r="D19" s="929"/>
      <c r="E19" s="930"/>
      <c r="F19" s="931"/>
      <c r="G19" s="931"/>
      <c r="H19" s="931"/>
      <c r="I19" s="932"/>
    </row>
    <row r="20" spans="1:9" ht="25.15" customHeight="1">
      <c r="A20" s="928"/>
      <c r="B20" s="938"/>
      <c r="C20" s="929" t="s">
        <v>1077</v>
      </c>
      <c r="D20" s="929"/>
      <c r="E20" s="930"/>
      <c r="F20" s="931"/>
      <c r="G20" s="931"/>
      <c r="H20" s="931"/>
      <c r="I20" s="932"/>
    </row>
    <row r="21" spans="1:9" ht="25.15" customHeight="1">
      <c r="A21" s="928"/>
      <c r="B21" s="929"/>
      <c r="C21" s="929" t="s">
        <v>1076</v>
      </c>
      <c r="D21" s="929"/>
      <c r="E21" s="930"/>
      <c r="F21" s="931"/>
      <c r="G21" s="931"/>
      <c r="H21" s="931"/>
      <c r="I21" s="932"/>
    </row>
    <row r="22" spans="1:9" ht="25.15" customHeight="1">
      <c r="A22" s="928"/>
      <c r="B22" s="929"/>
      <c r="C22" s="929" t="s">
        <v>2051</v>
      </c>
      <c r="D22" s="929"/>
      <c r="E22" s="930"/>
      <c r="F22" s="931"/>
      <c r="G22" s="931"/>
      <c r="H22" s="931"/>
      <c r="I22" s="932"/>
    </row>
    <row r="23" spans="1:9" ht="13.15" customHeight="1">
      <c r="B23" s="929"/>
      <c r="C23" s="930"/>
      <c r="D23" s="929"/>
    </row>
    <row r="24" spans="1:9" ht="25.15" customHeight="1">
      <c r="B24" s="933" t="s">
        <v>566</v>
      </c>
      <c r="C24" s="934"/>
      <c r="D24" s="941"/>
      <c r="E24" s="935"/>
      <c r="F24" s="935"/>
      <c r="G24" s="935"/>
      <c r="H24" s="935"/>
    </row>
    <row r="25" spans="1:9" ht="25.15" customHeight="1">
      <c r="B25" s="929"/>
      <c r="C25" s="929" t="s">
        <v>5</v>
      </c>
      <c r="D25" s="929"/>
    </row>
    <row r="26" spans="1:9" ht="25.15" customHeight="1">
      <c r="B26" s="929"/>
      <c r="C26" s="929" t="s">
        <v>1451</v>
      </c>
      <c r="D26" s="929"/>
    </row>
    <row r="27" spans="1:9" ht="25.15" customHeight="1">
      <c r="B27" s="929"/>
      <c r="C27" s="929" t="s">
        <v>6</v>
      </c>
      <c r="D27" s="929"/>
    </row>
    <row r="28" spans="1:9" ht="25.15" customHeight="1">
      <c r="C28" s="930" t="s">
        <v>7</v>
      </c>
      <c r="D28" s="930"/>
    </row>
    <row r="29" spans="1:9" ht="25.15" customHeight="1">
      <c r="C29" s="943" t="s">
        <v>8</v>
      </c>
      <c r="D29" s="943"/>
    </row>
    <row r="30" spans="1:9" ht="13.15" customHeight="1">
      <c r="D30" s="943"/>
    </row>
    <row r="31" spans="1:9" ht="25.15" customHeight="1">
      <c r="B31" s="933" t="s">
        <v>2091</v>
      </c>
      <c r="C31" s="935"/>
      <c r="D31" s="935"/>
      <c r="E31" s="935"/>
      <c r="F31" s="935"/>
      <c r="G31" s="935"/>
      <c r="H31" s="935"/>
    </row>
    <row r="32" spans="1:9" ht="25.15" customHeight="1">
      <c r="C32" s="926" t="s">
        <v>1453</v>
      </c>
    </row>
    <row r="33" spans="3:3" ht="25.15" customHeight="1">
      <c r="C33" s="926" t="s">
        <v>1454</v>
      </c>
    </row>
    <row r="34" spans="3:3" ht="25.15" customHeight="1">
      <c r="C34" s="926" t="s">
        <v>1452</v>
      </c>
    </row>
    <row r="35" spans="3:3" ht="16.899999999999999" customHeight="1"/>
  </sheetData>
  <phoneticPr fontId="6" type="noConversion"/>
  <pageMargins left="0.7" right="0.7" top="0.75" bottom="0.75" header="0.3" footer="0.3"/>
  <pageSetup paperSize="9" scale="91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BB28"/>
  <sheetViews>
    <sheetView showGridLines="0" view="pageBreakPreview" zoomScale="85" zoomScaleNormal="25" zoomScaleSheetLayoutView="85" workbookViewId="0">
      <selection activeCell="S2" sqref="S2"/>
    </sheetView>
  </sheetViews>
  <sheetFormatPr defaultColWidth="8.75" defaultRowHeight="15" outlineLevelCol="1"/>
  <cols>
    <col min="1" max="1" width="1.25" style="958" customWidth="1"/>
    <col min="2" max="4" width="5.375" style="958" customWidth="1"/>
    <col min="5" max="16" width="4.75" style="958" customWidth="1"/>
    <col min="17" max="18" width="2.625" style="958" customWidth="1"/>
    <col min="19" max="20" width="25.375" style="990" customWidth="1" outlineLevel="1"/>
    <col min="21" max="21" width="17.125" style="958" bestFit="1" customWidth="1"/>
    <col min="22" max="44" width="19.25" style="958" customWidth="1"/>
    <col min="45" max="45" width="17.125" style="958" bestFit="1" customWidth="1"/>
    <col min="46" max="46" width="19.25" style="958" customWidth="1"/>
    <col min="47" max="54" width="17.125" style="958" bestFit="1" customWidth="1"/>
    <col min="55" max="16384" width="8.75" style="958"/>
  </cols>
  <sheetData>
    <row r="1" spans="1:54">
      <c r="A1" s="989"/>
    </row>
    <row r="2" spans="1:54" ht="21" customHeight="1">
      <c r="A2" s="972"/>
      <c r="B2" s="2130" t="s">
        <v>610</v>
      </c>
      <c r="C2" s="973"/>
      <c r="D2" s="973"/>
      <c r="E2" s="973"/>
      <c r="F2" s="973"/>
      <c r="G2" s="973"/>
      <c r="H2" s="973"/>
      <c r="I2" s="973"/>
      <c r="J2" s="973"/>
      <c r="K2" s="973"/>
      <c r="L2" s="973"/>
      <c r="M2" s="973"/>
      <c r="N2" s="973"/>
      <c r="O2" s="973"/>
      <c r="P2" s="973"/>
      <c r="Q2" s="973"/>
      <c r="R2" s="991"/>
    </row>
    <row r="3" spans="1:54" s="974" customFormat="1" ht="12" customHeight="1">
      <c r="B3" s="975"/>
      <c r="C3" s="975"/>
      <c r="D3" s="975"/>
      <c r="E3" s="975"/>
      <c r="F3" s="975"/>
      <c r="G3" s="975"/>
      <c r="H3" s="975"/>
      <c r="I3" s="975"/>
      <c r="J3" s="975"/>
      <c r="K3" s="975"/>
      <c r="L3" s="975"/>
      <c r="M3" s="975"/>
      <c r="N3" s="975"/>
      <c r="O3" s="975"/>
      <c r="P3" s="975"/>
      <c r="Q3" s="975"/>
      <c r="R3" s="975"/>
      <c r="S3" s="990"/>
      <c r="T3" s="990"/>
    </row>
    <row r="4" spans="1:54" s="974" customFormat="1" ht="26.25" customHeight="1">
      <c r="B4" s="976" t="s">
        <v>580</v>
      </c>
      <c r="C4" s="956"/>
      <c r="D4" s="956"/>
      <c r="E4" s="956"/>
      <c r="F4" s="956"/>
      <c r="G4" s="956"/>
      <c r="H4" s="956"/>
      <c r="I4" s="956"/>
      <c r="J4" s="956"/>
      <c r="K4" s="956"/>
      <c r="L4" s="956"/>
      <c r="M4" s="956"/>
      <c r="N4" s="956"/>
      <c r="O4" s="956"/>
      <c r="P4" s="956"/>
      <c r="Q4" s="977"/>
      <c r="R4" s="977"/>
      <c r="S4" s="990"/>
      <c r="T4" s="990"/>
      <c r="AA4" s="992"/>
      <c r="AB4" s="992"/>
      <c r="AM4" s="992"/>
      <c r="AY4" s="992"/>
    </row>
    <row r="5" spans="1:54" s="974" customFormat="1" ht="26.25" customHeight="1">
      <c r="B5" s="2475" t="s">
        <v>9</v>
      </c>
      <c r="C5" s="2475"/>
      <c r="D5" s="2475"/>
      <c r="E5" s="2475"/>
      <c r="F5" s="2470" t="s">
        <v>10</v>
      </c>
      <c r="G5" s="2470"/>
      <c r="H5" s="2470"/>
      <c r="I5" s="2470"/>
      <c r="J5" s="2470"/>
      <c r="K5" s="2470"/>
      <c r="L5" s="2470"/>
      <c r="M5" s="2470"/>
      <c r="N5" s="2470"/>
      <c r="O5" s="2470"/>
      <c r="P5" s="2470"/>
      <c r="Q5" s="977"/>
      <c r="R5" s="977"/>
      <c r="S5" s="993" t="s">
        <v>11</v>
      </c>
      <c r="T5" s="974">
        <v>35</v>
      </c>
      <c r="U5" s="974">
        <v>34</v>
      </c>
      <c r="V5" s="974">
        <v>33</v>
      </c>
      <c r="W5" s="974">
        <v>32</v>
      </c>
      <c r="X5" s="974">
        <v>31</v>
      </c>
      <c r="Y5" s="974">
        <v>30</v>
      </c>
      <c r="Z5" s="974">
        <v>29</v>
      </c>
      <c r="AA5" s="974">
        <v>28</v>
      </c>
      <c r="AB5" s="974">
        <v>27</v>
      </c>
      <c r="AC5" s="974">
        <v>26</v>
      </c>
      <c r="AD5" s="974">
        <v>25</v>
      </c>
      <c r="AE5" s="974">
        <v>24</v>
      </c>
      <c r="AF5" s="974">
        <v>23</v>
      </c>
      <c r="AG5" s="974">
        <v>22</v>
      </c>
      <c r="AH5" s="974">
        <v>21</v>
      </c>
      <c r="AI5" s="974">
        <v>20</v>
      </c>
      <c r="AJ5" s="974">
        <v>19</v>
      </c>
      <c r="AK5" s="974">
        <v>18</v>
      </c>
      <c r="AL5" s="974">
        <v>17</v>
      </c>
      <c r="AM5" s="974">
        <v>16</v>
      </c>
      <c r="AN5" s="974">
        <v>15</v>
      </c>
      <c r="AO5" s="974">
        <v>14</v>
      </c>
      <c r="AP5" s="974">
        <v>13</v>
      </c>
      <c r="AQ5" s="974">
        <v>12</v>
      </c>
      <c r="AR5" s="974">
        <v>11</v>
      </c>
      <c r="AS5" s="974">
        <v>10</v>
      </c>
      <c r="AT5" s="974">
        <v>9</v>
      </c>
      <c r="AU5" s="974">
        <v>8</v>
      </c>
      <c r="AV5" s="974">
        <v>7</v>
      </c>
      <c r="AW5" s="974">
        <v>6</v>
      </c>
      <c r="AX5" s="974">
        <v>5</v>
      </c>
      <c r="AY5" s="974">
        <v>4</v>
      </c>
      <c r="AZ5" s="974">
        <v>3</v>
      </c>
      <c r="BA5" s="974">
        <v>2</v>
      </c>
      <c r="BB5" s="974">
        <v>1</v>
      </c>
    </row>
    <row r="6" spans="1:54" s="974" customFormat="1" ht="26.25" customHeight="1">
      <c r="B6" s="2475" t="s">
        <v>12</v>
      </c>
      <c r="C6" s="2475"/>
      <c r="D6" s="2475"/>
      <c r="E6" s="2475"/>
      <c r="F6" s="2470" t="s">
        <v>13</v>
      </c>
      <c r="G6" s="2470"/>
      <c r="H6" s="2470"/>
      <c r="I6" s="2470"/>
      <c r="J6" s="2470"/>
      <c r="K6" s="2470"/>
      <c r="L6" s="2470"/>
      <c r="M6" s="2470"/>
      <c r="N6" s="2470"/>
      <c r="O6" s="2470"/>
      <c r="P6" s="2470"/>
      <c r="Q6" s="977"/>
      <c r="R6" s="977"/>
      <c r="S6" s="993" t="s">
        <v>14</v>
      </c>
      <c r="T6" s="982">
        <v>400372470000</v>
      </c>
      <c r="U6" s="982">
        <v>400372470000</v>
      </c>
      <c r="V6" s="982">
        <v>400300000000</v>
      </c>
      <c r="W6" s="982">
        <v>400300000000</v>
      </c>
      <c r="X6" s="982">
        <v>400300000000</v>
      </c>
      <c r="Y6" s="982">
        <v>400300000000</v>
      </c>
      <c r="Z6" s="982">
        <v>400300000000</v>
      </c>
      <c r="AA6" s="982">
        <v>400300000000</v>
      </c>
      <c r="AB6" s="982">
        <v>400300000000</v>
      </c>
      <c r="AC6" s="982">
        <v>400300000000</v>
      </c>
      <c r="AD6" s="982">
        <v>400300000000</v>
      </c>
      <c r="AE6" s="982">
        <v>400300000000</v>
      </c>
      <c r="AF6" s="982">
        <v>400300000000</v>
      </c>
      <c r="AG6" s="982">
        <v>400300000000</v>
      </c>
      <c r="AH6" s="982">
        <v>400300000000</v>
      </c>
      <c r="AI6" s="982">
        <v>400300000000</v>
      </c>
      <c r="AJ6" s="982">
        <v>400300000000</v>
      </c>
      <c r="AK6" s="982">
        <v>400300000000</v>
      </c>
      <c r="AL6" s="982">
        <v>400300000000</v>
      </c>
      <c r="AM6" s="982">
        <v>400300000000</v>
      </c>
      <c r="AN6" s="982">
        <v>400300000000</v>
      </c>
      <c r="AO6" s="982">
        <v>400300000000</v>
      </c>
      <c r="AP6" s="982">
        <v>400300000000</v>
      </c>
      <c r="AQ6" s="982">
        <v>400300000000</v>
      </c>
      <c r="AR6" s="982">
        <v>400300000000</v>
      </c>
      <c r="AS6" s="982">
        <v>400300000000</v>
      </c>
      <c r="AT6" s="982">
        <v>400300000000</v>
      </c>
      <c r="AU6" s="982">
        <v>400300000000</v>
      </c>
      <c r="AV6" s="982">
        <v>400300000000</v>
      </c>
      <c r="AW6" s="982">
        <v>400300000000</v>
      </c>
      <c r="AX6" s="982">
        <v>400300000000</v>
      </c>
      <c r="AY6" s="982">
        <v>400300000000</v>
      </c>
      <c r="AZ6" s="982">
        <v>400300000000</v>
      </c>
      <c r="BA6" s="982">
        <v>400300000000</v>
      </c>
      <c r="BB6" s="982">
        <v>400300000000</v>
      </c>
    </row>
    <row r="7" spans="1:54" s="974" customFormat="1" ht="26.25" customHeight="1">
      <c r="B7" s="2468" t="s">
        <v>15</v>
      </c>
      <c r="C7" s="2468"/>
      <c r="D7" s="2468"/>
      <c r="E7" s="2468"/>
      <c r="F7" s="2470" t="s">
        <v>16</v>
      </c>
      <c r="G7" s="2470"/>
      <c r="H7" s="2470"/>
      <c r="I7" s="2470"/>
      <c r="J7" s="2470"/>
      <c r="K7" s="2470"/>
      <c r="L7" s="2470"/>
      <c r="M7" s="2470"/>
      <c r="N7" s="2470"/>
      <c r="O7" s="2470"/>
      <c r="P7" s="2470"/>
      <c r="Q7" s="977"/>
      <c r="R7" s="977"/>
      <c r="S7" s="993" t="s">
        <v>17</v>
      </c>
      <c r="T7" s="982">
        <v>433558284</v>
      </c>
      <c r="U7" s="982">
        <v>433558284</v>
      </c>
      <c r="V7" s="982">
        <v>433558284</v>
      </c>
      <c r="W7" s="982">
        <v>433558284</v>
      </c>
      <c r="X7" s="994">
        <v>433558284</v>
      </c>
      <c r="Y7" s="982">
        <v>433686714</v>
      </c>
      <c r="Z7" s="982">
        <v>433686714</v>
      </c>
      <c r="AA7" s="982">
        <v>433686714</v>
      </c>
      <c r="AB7" s="982">
        <v>433686714</v>
      </c>
      <c r="AC7" s="982">
        <v>433686714</v>
      </c>
      <c r="AD7" s="982">
        <v>433686714</v>
      </c>
      <c r="AE7" s="982">
        <v>433686714</v>
      </c>
      <c r="AF7" s="982">
        <v>433686714</v>
      </c>
      <c r="AG7" s="982">
        <v>433686714</v>
      </c>
      <c r="AH7" s="982">
        <v>433537905</v>
      </c>
      <c r="AI7" s="982">
        <v>433537905</v>
      </c>
      <c r="AJ7" s="982">
        <v>433537905</v>
      </c>
      <c r="AK7" s="982">
        <v>433537905</v>
      </c>
      <c r="AL7" s="982">
        <v>433537905</v>
      </c>
      <c r="AM7" s="982">
        <v>433537905</v>
      </c>
      <c r="AN7" s="982">
        <v>433537905</v>
      </c>
      <c r="AO7" s="982">
        <v>433537905</v>
      </c>
      <c r="AP7" s="982">
        <v>433537905</v>
      </c>
      <c r="AQ7" s="982">
        <v>433537905</v>
      </c>
      <c r="AR7" s="982">
        <v>433537905</v>
      </c>
      <c r="AS7" s="982">
        <v>433537905</v>
      </c>
      <c r="AT7" s="982">
        <v>433537905</v>
      </c>
      <c r="AU7" s="982">
        <v>433537905</v>
      </c>
      <c r="AV7" s="982">
        <v>433537905</v>
      </c>
      <c r="AW7" s="982">
        <v>433537905</v>
      </c>
      <c r="AX7" s="982">
        <v>433537905</v>
      </c>
      <c r="AY7" s="982">
        <v>433537905</v>
      </c>
      <c r="AZ7" s="982">
        <v>433537905</v>
      </c>
      <c r="BA7" s="982">
        <v>433537905</v>
      </c>
      <c r="BB7" s="982">
        <v>231220215</v>
      </c>
    </row>
    <row r="8" spans="1:54" s="974" customFormat="1" ht="26.25" customHeight="1">
      <c r="B8" s="2468" t="s">
        <v>18</v>
      </c>
      <c r="C8" s="2468"/>
      <c r="D8" s="2468"/>
      <c r="E8" s="2468"/>
      <c r="F8" s="2470" t="s">
        <v>567</v>
      </c>
      <c r="G8" s="2470"/>
      <c r="H8" s="2470"/>
      <c r="I8" s="2470"/>
      <c r="J8" s="2470"/>
      <c r="K8" s="2470"/>
      <c r="L8" s="2470"/>
      <c r="M8" s="2470"/>
      <c r="N8" s="2470"/>
      <c r="O8" s="2470"/>
      <c r="P8" s="2470"/>
      <c r="Q8" s="977"/>
      <c r="R8" s="977"/>
      <c r="S8" s="993" t="s">
        <v>19</v>
      </c>
      <c r="T8" s="982">
        <f>SUM(T7:$BC$7)</f>
        <v>14972950161</v>
      </c>
      <c r="U8" s="982">
        <f>SUM(U7:$BC$7)</f>
        <v>14539391877</v>
      </c>
      <c r="V8" s="982">
        <f>SUM(V7:$BC$7)</f>
        <v>14105833593</v>
      </c>
      <c r="W8" s="982">
        <f>SUM(W7:$BC$7)</f>
        <v>13672275309</v>
      </c>
      <c r="X8" s="982">
        <f>SUM(X7:$BC$7)</f>
        <v>13238717025</v>
      </c>
      <c r="Y8" s="982">
        <f>SUM(Y7:$BC$7)</f>
        <v>12805158741</v>
      </c>
      <c r="Z8" s="982">
        <f>SUM(Z7:$BC$7)</f>
        <v>12371472027</v>
      </c>
      <c r="AA8" s="982">
        <f>SUM(AA7:$BC$7)</f>
        <v>11937785313</v>
      </c>
      <c r="AB8" s="982">
        <f>SUM(AB7:$BC$7)</f>
        <v>11504098599</v>
      </c>
      <c r="AC8" s="982">
        <f>SUM(AC7:$BC$7)</f>
        <v>11070411885</v>
      </c>
      <c r="AD8" s="982">
        <f>SUM(AD7:$BC$7)</f>
        <v>10636725171</v>
      </c>
      <c r="AE8" s="982">
        <f>SUM(AE7:$BC$7)</f>
        <v>10203038457</v>
      </c>
      <c r="AF8" s="982">
        <f>SUM(AF7:$BC$7)</f>
        <v>9769351743</v>
      </c>
      <c r="AG8" s="982">
        <f>SUM(AG7:$BC$7)</f>
        <v>9335665029</v>
      </c>
      <c r="AH8" s="982">
        <f>SUM(AH7:$BC$7)</f>
        <v>8901978315</v>
      </c>
      <c r="AI8" s="982">
        <f>SUM(AI7:$BC$7)</f>
        <v>8468440410</v>
      </c>
      <c r="AJ8" s="982">
        <f>SUM(AJ7:$BC$7)</f>
        <v>8034902505</v>
      </c>
      <c r="AK8" s="982">
        <f>SUM(AK7:$BC$7)</f>
        <v>7601364600</v>
      </c>
      <c r="AL8" s="982">
        <f>SUM(AL7:BB7)</f>
        <v>7167826695</v>
      </c>
      <c r="AM8" s="982">
        <f>SUM(AM7:BB7)</f>
        <v>6734288790</v>
      </c>
      <c r="AN8" s="982">
        <f>SUM(AN7:BB7)</f>
        <v>6300750885</v>
      </c>
      <c r="AO8" s="982">
        <f>SUM(AO7:BB7)</f>
        <v>5867212980</v>
      </c>
      <c r="AP8" s="982">
        <f>SUM(AP7:BB7)</f>
        <v>5433675075</v>
      </c>
      <c r="AQ8" s="982">
        <f>SUM(AQ7:BB7)</f>
        <v>5000137170</v>
      </c>
      <c r="AR8" s="982">
        <f>SUM(AR7:BB7)</f>
        <v>4566599265</v>
      </c>
      <c r="AS8" s="982">
        <f>SUM(AS7:BB7)</f>
        <v>4133061360</v>
      </c>
      <c r="AT8" s="982">
        <f>SUM(AT7:BB7)</f>
        <v>3699523455</v>
      </c>
      <c r="AU8" s="982">
        <f>SUM(AU7:BB7)</f>
        <v>3265985550</v>
      </c>
      <c r="AV8" s="982">
        <f>SUM(AV7:BB7)</f>
        <v>2832447645</v>
      </c>
      <c r="AW8" s="982">
        <f>SUM(AW7:BB7)</f>
        <v>2398909740</v>
      </c>
      <c r="AX8" s="982">
        <f>SUM(AX7:BB7)</f>
        <v>1965371835</v>
      </c>
      <c r="AY8" s="982">
        <f>SUM(AY7:BB7)</f>
        <v>1531833930</v>
      </c>
      <c r="AZ8" s="982">
        <f>AZ7+BA7+BB7</f>
        <v>1098296025</v>
      </c>
      <c r="BA8" s="982">
        <f>BA7+BB7</f>
        <v>664758120</v>
      </c>
      <c r="BB8" s="995">
        <f>BB7</f>
        <v>231220215</v>
      </c>
    </row>
    <row r="9" spans="1:54" s="974" customFormat="1" ht="26.25" customHeight="1">
      <c r="B9" s="2468" t="s">
        <v>20</v>
      </c>
      <c r="C9" s="2468"/>
      <c r="D9" s="2468"/>
      <c r="E9" s="2468"/>
      <c r="F9" s="2474" t="s">
        <v>568</v>
      </c>
      <c r="G9" s="2470"/>
      <c r="H9" s="2470"/>
      <c r="I9" s="2470"/>
      <c r="J9" s="2470"/>
      <c r="K9" s="2470"/>
      <c r="L9" s="2470"/>
      <c r="M9" s="2470"/>
      <c r="N9" s="2470"/>
      <c r="O9" s="2470"/>
      <c r="P9" s="2470"/>
      <c r="Q9" s="977"/>
      <c r="R9" s="977"/>
      <c r="S9" s="993" t="s">
        <v>21</v>
      </c>
      <c r="T9" s="982">
        <f t="shared" ref="T9" si="0">T6-T8</f>
        <v>385399519839</v>
      </c>
      <c r="U9" s="982">
        <f t="shared" ref="U9:BB9" si="1">U6-U8</f>
        <v>385833078123</v>
      </c>
      <c r="V9" s="982">
        <f t="shared" si="1"/>
        <v>386194166407</v>
      </c>
      <c r="W9" s="982">
        <f t="shared" si="1"/>
        <v>386627724691</v>
      </c>
      <c r="X9" s="982">
        <f t="shared" si="1"/>
        <v>387061282975</v>
      </c>
      <c r="Y9" s="982">
        <f t="shared" si="1"/>
        <v>387494841259</v>
      </c>
      <c r="Z9" s="982">
        <f t="shared" si="1"/>
        <v>387928527973</v>
      </c>
      <c r="AA9" s="982">
        <f t="shared" si="1"/>
        <v>388362214687</v>
      </c>
      <c r="AB9" s="982">
        <f t="shared" si="1"/>
        <v>388795901401</v>
      </c>
      <c r="AC9" s="982">
        <f t="shared" si="1"/>
        <v>389229588115</v>
      </c>
      <c r="AD9" s="982">
        <f t="shared" si="1"/>
        <v>389663274829</v>
      </c>
      <c r="AE9" s="982">
        <f t="shared" si="1"/>
        <v>390096961543</v>
      </c>
      <c r="AF9" s="982">
        <f t="shared" si="1"/>
        <v>390530648257</v>
      </c>
      <c r="AG9" s="982">
        <f t="shared" si="1"/>
        <v>390964334971</v>
      </c>
      <c r="AH9" s="982">
        <f t="shared" si="1"/>
        <v>391398021685</v>
      </c>
      <c r="AI9" s="982">
        <f t="shared" si="1"/>
        <v>391831559590</v>
      </c>
      <c r="AJ9" s="982">
        <f t="shared" si="1"/>
        <v>392265097495</v>
      </c>
      <c r="AK9" s="982">
        <f t="shared" si="1"/>
        <v>392698635400</v>
      </c>
      <c r="AL9" s="982">
        <f t="shared" si="1"/>
        <v>393132173305</v>
      </c>
      <c r="AM9" s="982">
        <f t="shared" si="1"/>
        <v>393565711210</v>
      </c>
      <c r="AN9" s="982">
        <f t="shared" si="1"/>
        <v>393999249115</v>
      </c>
      <c r="AO9" s="982">
        <f t="shared" si="1"/>
        <v>394432787020</v>
      </c>
      <c r="AP9" s="982">
        <f t="shared" si="1"/>
        <v>394866324925</v>
      </c>
      <c r="AQ9" s="982">
        <f t="shared" si="1"/>
        <v>395299862830</v>
      </c>
      <c r="AR9" s="982">
        <f t="shared" si="1"/>
        <v>395733400735</v>
      </c>
      <c r="AS9" s="982">
        <f t="shared" si="1"/>
        <v>396166938640</v>
      </c>
      <c r="AT9" s="982">
        <f t="shared" si="1"/>
        <v>396600476545</v>
      </c>
      <c r="AU9" s="982">
        <f t="shared" si="1"/>
        <v>397034014450</v>
      </c>
      <c r="AV9" s="982">
        <f t="shared" si="1"/>
        <v>397467552355</v>
      </c>
      <c r="AW9" s="982">
        <f t="shared" si="1"/>
        <v>397901090260</v>
      </c>
      <c r="AX9" s="982">
        <f t="shared" si="1"/>
        <v>398334628165</v>
      </c>
      <c r="AY9" s="982">
        <f t="shared" si="1"/>
        <v>398768166070</v>
      </c>
      <c r="AZ9" s="996">
        <f t="shared" si="1"/>
        <v>399201703975</v>
      </c>
      <c r="BA9" s="982">
        <f t="shared" si="1"/>
        <v>399635241880</v>
      </c>
      <c r="BB9" s="996">
        <f t="shared" si="1"/>
        <v>400068779785</v>
      </c>
    </row>
    <row r="10" spans="1:54" s="974" customFormat="1" ht="26.25" customHeight="1">
      <c r="B10" s="2468" t="s">
        <v>22</v>
      </c>
      <c r="C10" s="2468"/>
      <c r="D10" s="2468"/>
      <c r="E10" s="2468"/>
      <c r="F10" s="2470" t="s">
        <v>23</v>
      </c>
      <c r="G10" s="2470"/>
      <c r="H10" s="2470"/>
      <c r="I10" s="2470"/>
      <c r="J10" s="2470"/>
      <c r="K10" s="2470"/>
      <c r="L10" s="2470"/>
      <c r="M10" s="2470"/>
      <c r="N10" s="2470"/>
      <c r="O10" s="2470"/>
      <c r="P10" s="2470"/>
      <c r="Q10" s="977"/>
      <c r="R10" s="977"/>
      <c r="S10" s="990"/>
      <c r="T10" s="990"/>
    </row>
    <row r="11" spans="1:54" s="974" customFormat="1" ht="26.25" customHeight="1">
      <c r="B11" s="2468" t="s">
        <v>24</v>
      </c>
      <c r="C11" s="2468"/>
      <c r="D11" s="2468"/>
      <c r="E11" s="2468"/>
      <c r="F11" s="2470" t="s">
        <v>0</v>
      </c>
      <c r="G11" s="2470"/>
      <c r="H11" s="2470"/>
      <c r="I11" s="2470"/>
      <c r="J11" s="2470"/>
      <c r="K11" s="2470"/>
      <c r="L11" s="2470"/>
      <c r="M11" s="2470"/>
      <c r="N11" s="2470"/>
      <c r="O11" s="2470"/>
      <c r="P11" s="2470"/>
      <c r="Q11" s="977"/>
      <c r="R11" s="977"/>
      <c r="S11" s="990"/>
      <c r="T11" s="2252" t="s">
        <v>2227</v>
      </c>
      <c r="V11" s="996"/>
      <c r="W11" s="996"/>
      <c r="X11" s="996"/>
      <c r="Y11" s="996"/>
      <c r="Z11" s="996"/>
      <c r="AA11" s="996"/>
      <c r="AB11" s="996"/>
      <c r="AC11" s="996"/>
      <c r="AD11" s="996"/>
      <c r="AE11" s="996"/>
      <c r="AF11" s="996"/>
      <c r="AG11" s="996"/>
      <c r="AH11" s="996"/>
      <c r="AI11" s="996"/>
      <c r="AJ11" s="996"/>
      <c r="AK11" s="996"/>
      <c r="AL11" s="996"/>
      <c r="AM11" s="996"/>
      <c r="AN11" s="996"/>
      <c r="AO11" s="996"/>
      <c r="AP11" s="996"/>
      <c r="AQ11" s="996"/>
      <c r="AR11" s="996"/>
      <c r="AT11" s="996"/>
    </row>
    <row r="12" spans="1:54" s="974" customFormat="1" ht="26.25" customHeight="1">
      <c r="B12" s="2468" t="s">
        <v>25</v>
      </c>
      <c r="C12" s="2468"/>
      <c r="D12" s="2468"/>
      <c r="E12" s="2468"/>
      <c r="F12" s="2470" t="s">
        <v>569</v>
      </c>
      <c r="G12" s="2470"/>
      <c r="H12" s="2470"/>
      <c r="I12" s="2470"/>
      <c r="J12" s="2470"/>
      <c r="K12" s="2470"/>
      <c r="L12" s="2470"/>
      <c r="M12" s="2470"/>
      <c r="N12" s="2470"/>
      <c r="O12" s="2470"/>
      <c r="P12" s="2470"/>
      <c r="Q12" s="977"/>
      <c r="R12" s="977"/>
      <c r="S12" s="990"/>
      <c r="T12" s="990"/>
      <c r="V12" s="996"/>
      <c r="AZ12" s="997"/>
      <c r="BB12" s="997"/>
    </row>
    <row r="13" spans="1:54" s="974" customFormat="1" ht="26.25" customHeight="1">
      <c r="B13" s="2468" t="s">
        <v>26</v>
      </c>
      <c r="C13" s="2468"/>
      <c r="D13" s="2468"/>
      <c r="E13" s="2468"/>
      <c r="F13" s="2470" t="s">
        <v>570</v>
      </c>
      <c r="G13" s="2470"/>
      <c r="H13" s="2470"/>
      <c r="I13" s="2470"/>
      <c r="J13" s="2470"/>
      <c r="K13" s="2470"/>
      <c r="L13" s="2470"/>
      <c r="M13" s="2470"/>
      <c r="N13" s="2470"/>
      <c r="O13" s="2470"/>
      <c r="P13" s="2470"/>
      <c r="Q13" s="977"/>
      <c r="R13" s="977"/>
      <c r="S13" s="990"/>
      <c r="T13" s="990"/>
      <c r="V13" s="997"/>
      <c r="AW13" s="998"/>
      <c r="AX13" s="996"/>
    </row>
    <row r="14" spans="1:54" s="974" customFormat="1" ht="26.25" customHeight="1">
      <c r="B14" s="2468" t="s">
        <v>27</v>
      </c>
      <c r="C14" s="2468"/>
      <c r="D14" s="2468"/>
      <c r="E14" s="2468"/>
      <c r="F14" s="2470" t="s">
        <v>571</v>
      </c>
      <c r="G14" s="2470"/>
      <c r="H14" s="2470"/>
      <c r="I14" s="2470"/>
      <c r="J14" s="2470"/>
      <c r="K14" s="2470"/>
      <c r="L14" s="2470"/>
      <c r="M14" s="2470"/>
      <c r="N14" s="2470"/>
      <c r="O14" s="2470"/>
      <c r="P14" s="2470"/>
      <c r="Q14" s="977"/>
      <c r="R14" s="977"/>
      <c r="S14" s="990"/>
      <c r="T14" s="990"/>
    </row>
    <row r="15" spans="1:54" s="974" customFormat="1" ht="26.25" customHeight="1">
      <c r="B15" s="2468" t="s">
        <v>28</v>
      </c>
      <c r="C15" s="2468"/>
      <c r="D15" s="2468"/>
      <c r="E15" s="2468"/>
      <c r="F15" s="2469" t="s">
        <v>29</v>
      </c>
      <c r="G15" s="2470"/>
      <c r="H15" s="2470"/>
      <c r="I15" s="2470"/>
      <c r="J15" s="2470"/>
      <c r="K15" s="2470"/>
      <c r="L15" s="2470"/>
      <c r="M15" s="2470"/>
      <c r="N15" s="2470"/>
      <c r="O15" s="2470"/>
      <c r="P15" s="2470"/>
      <c r="Q15" s="977"/>
      <c r="R15" s="977"/>
      <c r="S15" s="990"/>
      <c r="T15" s="990"/>
    </row>
    <row r="16" spans="1:54" s="974" customFormat="1" ht="26.25" customHeight="1">
      <c r="B16" s="977"/>
      <c r="C16" s="977"/>
      <c r="D16" s="977"/>
      <c r="E16" s="977"/>
      <c r="F16" s="977"/>
      <c r="G16" s="999"/>
      <c r="H16" s="977"/>
      <c r="I16" s="977"/>
      <c r="J16" s="977"/>
      <c r="K16" s="977"/>
      <c r="L16" s="977"/>
      <c r="M16" s="977"/>
      <c r="N16" s="977"/>
      <c r="O16" s="977"/>
      <c r="P16" s="956"/>
      <c r="Q16" s="977"/>
      <c r="R16" s="977"/>
      <c r="S16" s="990"/>
      <c r="T16" s="990"/>
    </row>
    <row r="17" spans="2:54" s="974" customFormat="1" ht="26.25" customHeight="1">
      <c r="B17" s="976" t="s">
        <v>581</v>
      </c>
      <c r="C17" s="956"/>
      <c r="D17" s="956"/>
      <c r="E17" s="956"/>
      <c r="F17" s="956"/>
      <c r="G17" s="956"/>
      <c r="H17" s="956"/>
      <c r="I17" s="956"/>
      <c r="J17" s="956"/>
      <c r="K17" s="956"/>
      <c r="L17" s="956"/>
      <c r="M17" s="956"/>
      <c r="N17" s="956"/>
      <c r="O17" s="956"/>
      <c r="P17" s="1000" t="s">
        <v>30</v>
      </c>
      <c r="Q17" s="977"/>
      <c r="R17" s="977"/>
      <c r="S17" s="990"/>
      <c r="T17" s="990"/>
    </row>
    <row r="18" spans="2:54" s="974" customFormat="1" ht="26.25" customHeight="1">
      <c r="B18" s="2466" t="s">
        <v>31</v>
      </c>
      <c r="C18" s="2466"/>
      <c r="D18" s="2466"/>
      <c r="E18" s="2466" t="s">
        <v>32</v>
      </c>
      <c r="F18" s="2466"/>
      <c r="G18" s="2466"/>
      <c r="H18" s="2466" t="s">
        <v>576</v>
      </c>
      <c r="I18" s="2466"/>
      <c r="J18" s="2466"/>
      <c r="K18" s="2466" t="s">
        <v>578</v>
      </c>
      <c r="L18" s="2466"/>
      <c r="M18" s="2466"/>
      <c r="N18" s="2466" t="s">
        <v>577</v>
      </c>
      <c r="O18" s="2466"/>
      <c r="P18" s="2466"/>
      <c r="Q18" s="977"/>
      <c r="R18" s="977"/>
      <c r="S18" s="990"/>
      <c r="T18" s="990"/>
    </row>
    <row r="19" spans="2:54" s="974" customFormat="1" ht="26.25" customHeight="1">
      <c r="B19" s="2471">
        <f>N26</f>
        <v>400300000000</v>
      </c>
      <c r="C19" s="2472"/>
      <c r="D19" s="2472"/>
      <c r="E19" s="2473">
        <v>0</v>
      </c>
      <c r="F19" s="2473"/>
      <c r="G19" s="2473"/>
      <c r="H19" s="2471">
        <v>433558284</v>
      </c>
      <c r="I19" s="2472"/>
      <c r="J19" s="2472"/>
      <c r="K19" s="2471">
        <v>14539391877</v>
      </c>
      <c r="L19" s="2472"/>
      <c r="M19" s="2472"/>
      <c r="N19" s="2471">
        <f>B19-K19</f>
        <v>385760608123</v>
      </c>
      <c r="O19" s="2472"/>
      <c r="P19" s="2472"/>
      <c r="Q19" s="977"/>
      <c r="R19" s="977"/>
      <c r="S19" s="990"/>
      <c r="T19" s="990"/>
    </row>
    <row r="20" spans="2:54" s="974" customFormat="1" ht="26.25" customHeight="1">
      <c r="B20" s="977"/>
      <c r="C20" s="977"/>
      <c r="D20" s="977"/>
      <c r="E20" s="977"/>
      <c r="F20" s="977"/>
      <c r="G20" s="977"/>
      <c r="H20" s="977"/>
      <c r="I20" s="977"/>
      <c r="J20" s="977"/>
      <c r="K20" s="2467"/>
      <c r="L20" s="2467"/>
      <c r="M20" s="2467"/>
      <c r="N20" s="977"/>
      <c r="O20" s="977"/>
      <c r="P20" s="977"/>
      <c r="Q20" s="977"/>
      <c r="R20" s="977"/>
      <c r="S20" s="990"/>
      <c r="T20" s="990"/>
    </row>
    <row r="21" spans="2:54" s="974" customFormat="1" ht="26.25" customHeight="1">
      <c r="B21" s="976" t="s">
        <v>582</v>
      </c>
      <c r="C21" s="956"/>
      <c r="D21" s="956"/>
      <c r="E21" s="956"/>
      <c r="F21" s="956"/>
      <c r="G21" s="956"/>
      <c r="H21" s="956"/>
      <c r="I21" s="956"/>
      <c r="J21" s="956"/>
      <c r="K21" s="956"/>
      <c r="L21" s="956"/>
      <c r="M21" s="956"/>
      <c r="N21" s="956"/>
      <c r="O21" s="956"/>
      <c r="P21" s="1000" t="s">
        <v>30</v>
      </c>
      <c r="Q21" s="958"/>
      <c r="R21" s="958"/>
      <c r="S21" s="990"/>
      <c r="T21" s="990"/>
    </row>
    <row r="22" spans="2:54" s="989" customFormat="1" ht="26.25" customHeight="1">
      <c r="B22" s="2251" t="s">
        <v>575</v>
      </c>
      <c r="C22" s="2251"/>
      <c r="D22" s="2251"/>
      <c r="E22" s="2251"/>
      <c r="F22" s="2251"/>
      <c r="G22" s="2251"/>
      <c r="H22" s="2466" t="s">
        <v>34</v>
      </c>
      <c r="I22" s="2466"/>
      <c r="J22" s="2466"/>
      <c r="K22" s="2466" t="s">
        <v>35</v>
      </c>
      <c r="L22" s="2466"/>
      <c r="M22" s="2466"/>
      <c r="N22" s="2466" t="s">
        <v>36</v>
      </c>
      <c r="O22" s="2466"/>
      <c r="P22" s="2466"/>
      <c r="Q22" s="1001"/>
      <c r="R22" s="1001"/>
      <c r="S22" s="990"/>
      <c r="T22" s="990"/>
      <c r="U22" s="974"/>
      <c r="V22" s="974"/>
      <c r="W22" s="974"/>
      <c r="X22" s="974"/>
      <c r="Y22" s="974"/>
      <c r="Z22" s="974"/>
      <c r="AA22" s="974"/>
      <c r="AB22" s="974"/>
      <c r="AC22" s="974"/>
      <c r="AD22" s="974"/>
      <c r="AE22" s="974"/>
      <c r="AF22" s="974"/>
      <c r="AG22" s="974"/>
      <c r="AH22" s="974"/>
      <c r="AI22" s="974"/>
      <c r="AJ22" s="974"/>
      <c r="AK22" s="974"/>
      <c r="AL22" s="974"/>
      <c r="AM22" s="974"/>
      <c r="AN22" s="974"/>
      <c r="AO22" s="974"/>
      <c r="AP22" s="974"/>
      <c r="AQ22" s="974"/>
      <c r="AR22" s="974"/>
      <c r="AS22" s="974"/>
      <c r="AT22" s="974"/>
      <c r="AU22" s="974"/>
      <c r="AV22" s="974"/>
      <c r="AW22" s="974"/>
      <c r="AX22" s="974"/>
      <c r="AY22" s="974"/>
      <c r="AZ22" s="974"/>
      <c r="BA22" s="974"/>
      <c r="BB22" s="974"/>
    </row>
    <row r="23" spans="2:54" s="989" customFormat="1" ht="26.25" customHeight="1">
      <c r="B23" s="2136" t="s">
        <v>572</v>
      </c>
      <c r="C23" s="2136"/>
      <c r="D23" s="2136"/>
      <c r="E23" s="2137"/>
      <c r="F23" s="2137"/>
      <c r="G23" s="2137"/>
      <c r="H23" s="2465">
        <v>118000000000</v>
      </c>
      <c r="I23" s="2465">
        <v>153200000000</v>
      </c>
      <c r="J23" s="2465">
        <v>153200000000</v>
      </c>
      <c r="K23" s="2465">
        <v>177000000000</v>
      </c>
      <c r="L23" s="2465">
        <v>229800000000</v>
      </c>
      <c r="M23" s="2465">
        <v>229800000000</v>
      </c>
      <c r="N23" s="2465">
        <f>SUM(H23,K23)</f>
        <v>295000000000</v>
      </c>
      <c r="O23" s="2465"/>
      <c r="P23" s="2465"/>
      <c r="Q23" s="1001"/>
      <c r="R23" s="1001"/>
      <c r="S23" s="990"/>
      <c r="T23" s="990"/>
      <c r="U23" s="974"/>
      <c r="V23" s="974"/>
      <c r="W23" s="974"/>
      <c r="X23" s="974"/>
      <c r="Y23" s="974"/>
      <c r="Z23" s="974"/>
      <c r="AA23" s="974"/>
      <c r="AB23" s="974"/>
      <c r="AC23" s="974"/>
      <c r="AD23" s="974"/>
      <c r="AE23" s="974"/>
      <c r="AF23" s="974"/>
      <c r="AG23" s="974"/>
      <c r="AH23" s="974"/>
      <c r="AI23" s="974"/>
      <c r="AJ23" s="974"/>
      <c r="AK23" s="974"/>
      <c r="AL23" s="974"/>
      <c r="AM23" s="974"/>
      <c r="AN23" s="974"/>
      <c r="AO23" s="974"/>
      <c r="AP23" s="974"/>
      <c r="AQ23" s="974"/>
      <c r="AR23" s="974"/>
      <c r="AS23" s="974"/>
      <c r="AT23" s="974"/>
      <c r="AU23" s="974"/>
      <c r="AV23" s="974"/>
      <c r="AW23" s="974"/>
      <c r="AX23" s="974"/>
      <c r="AY23" s="974"/>
      <c r="AZ23" s="974"/>
      <c r="BA23" s="974"/>
      <c r="BB23" s="974"/>
    </row>
    <row r="24" spans="2:54" s="989" customFormat="1" ht="26.25" customHeight="1">
      <c r="B24" s="2136" t="s">
        <v>573</v>
      </c>
      <c r="C24" s="2136"/>
      <c r="D24" s="2136"/>
      <c r="E24" s="2137"/>
      <c r="F24" s="2137"/>
      <c r="G24" s="2137"/>
      <c r="H24" s="2465">
        <v>7979095104</v>
      </c>
      <c r="I24" s="2465"/>
      <c r="J24" s="2465"/>
      <c r="K24" s="2465">
        <v>11844792176</v>
      </c>
      <c r="L24" s="2465"/>
      <c r="M24" s="2465"/>
      <c r="N24" s="2465">
        <f>SUM(H24:M24)</f>
        <v>19823887280</v>
      </c>
      <c r="O24" s="2465"/>
      <c r="P24" s="2465"/>
      <c r="Q24" s="1001"/>
      <c r="R24" s="1001"/>
      <c r="S24" s="990"/>
      <c r="T24" s="990"/>
    </row>
    <row r="25" spans="2:54" s="989" customFormat="1" ht="26.25" customHeight="1">
      <c r="B25" s="2136" t="s">
        <v>574</v>
      </c>
      <c r="C25" s="2136"/>
      <c r="D25" s="2136"/>
      <c r="E25" s="2137"/>
      <c r="F25" s="2137"/>
      <c r="G25" s="2137"/>
      <c r="H25" s="2465">
        <v>34140904896</v>
      </c>
      <c r="I25" s="2465"/>
      <c r="J25" s="2465"/>
      <c r="K25" s="2465">
        <v>51335207824</v>
      </c>
      <c r="L25" s="2465"/>
      <c r="M25" s="2465"/>
      <c r="N25" s="2465">
        <f>SUM(H25:M25)</f>
        <v>85476112720</v>
      </c>
      <c r="O25" s="2465"/>
      <c r="P25" s="2465"/>
      <c r="Q25" s="1001"/>
      <c r="R25" s="1001"/>
      <c r="S25" s="990"/>
      <c r="T25" s="990"/>
    </row>
    <row r="26" spans="2:54" s="989" customFormat="1" ht="26.25" customHeight="1">
      <c r="B26" s="2463" t="s">
        <v>37</v>
      </c>
      <c r="C26" s="2463"/>
      <c r="D26" s="2463"/>
      <c r="E26" s="2463"/>
      <c r="F26" s="2463"/>
      <c r="G26" s="2463"/>
      <c r="H26" s="2464">
        <f>SUM(H23,H24,H25)</f>
        <v>160120000000</v>
      </c>
      <c r="I26" s="2464"/>
      <c r="J26" s="2464"/>
      <c r="K26" s="2464">
        <f>SUM(K23,K24,K25)</f>
        <v>240180000000</v>
      </c>
      <c r="L26" s="2464"/>
      <c r="M26" s="2464"/>
      <c r="N26" s="2464">
        <f>SUM(N23:P25)</f>
        <v>400300000000</v>
      </c>
      <c r="O26" s="2464"/>
      <c r="P26" s="2464"/>
      <c r="Q26" s="1001"/>
      <c r="R26" s="1001"/>
      <c r="S26" s="990"/>
      <c r="T26" s="990"/>
    </row>
    <row r="27" spans="2:54">
      <c r="U27" s="989"/>
      <c r="V27" s="989"/>
      <c r="W27" s="989"/>
      <c r="X27" s="989"/>
      <c r="Y27" s="989"/>
      <c r="Z27" s="989"/>
      <c r="AA27" s="989"/>
      <c r="AB27" s="989"/>
      <c r="AC27" s="989"/>
      <c r="AD27" s="989"/>
      <c r="AE27" s="989"/>
      <c r="AF27" s="989"/>
      <c r="AG27" s="989"/>
      <c r="AH27" s="989"/>
      <c r="AI27" s="989"/>
      <c r="AJ27" s="989"/>
      <c r="AK27" s="989"/>
      <c r="AL27" s="989"/>
      <c r="AM27" s="989"/>
      <c r="AN27" s="989"/>
      <c r="AO27" s="989"/>
      <c r="AP27" s="989"/>
      <c r="AQ27" s="989"/>
      <c r="AR27" s="989"/>
      <c r="AS27" s="989"/>
      <c r="AT27" s="989"/>
      <c r="AU27" s="989"/>
      <c r="AV27" s="989"/>
      <c r="AW27" s="989"/>
      <c r="AX27" s="989"/>
      <c r="AY27" s="989"/>
      <c r="AZ27" s="989"/>
      <c r="BA27" s="989"/>
      <c r="BB27" s="989"/>
    </row>
    <row r="28" spans="2:54">
      <c r="U28" s="989"/>
      <c r="V28" s="989"/>
      <c r="W28" s="989"/>
      <c r="X28" s="989"/>
      <c r="Y28" s="989"/>
      <c r="Z28" s="989"/>
      <c r="AA28" s="989"/>
      <c r="AB28" s="989"/>
      <c r="AC28" s="989"/>
      <c r="AD28" s="989"/>
      <c r="AE28" s="989"/>
      <c r="AF28" s="989"/>
      <c r="AG28" s="989"/>
      <c r="AH28" s="989"/>
      <c r="AI28" s="989"/>
      <c r="AJ28" s="989"/>
      <c r="AK28" s="989"/>
      <c r="AL28" s="989"/>
      <c r="AM28" s="989"/>
      <c r="AN28" s="989"/>
      <c r="AO28" s="989"/>
      <c r="AP28" s="989"/>
      <c r="AQ28" s="989"/>
      <c r="AR28" s="989"/>
      <c r="AS28" s="989"/>
      <c r="AT28" s="989"/>
      <c r="AU28" s="989"/>
      <c r="AV28" s="989"/>
      <c r="AW28" s="989"/>
      <c r="AX28" s="989"/>
      <c r="AY28" s="989"/>
      <c r="AZ28" s="989"/>
      <c r="BA28" s="989"/>
      <c r="BB28" s="989"/>
    </row>
  </sheetData>
  <mergeCells count="49">
    <mergeCell ref="B5:E5"/>
    <mergeCell ref="F5:P5"/>
    <mergeCell ref="B6:E6"/>
    <mergeCell ref="F6:P6"/>
    <mergeCell ref="B7:E7"/>
    <mergeCell ref="F7:P7"/>
    <mergeCell ref="B8:E8"/>
    <mergeCell ref="F8:P8"/>
    <mergeCell ref="B9:E9"/>
    <mergeCell ref="F9:P9"/>
    <mergeCell ref="B10:E10"/>
    <mergeCell ref="F10:P10"/>
    <mergeCell ref="B14:E14"/>
    <mergeCell ref="F14:P14"/>
    <mergeCell ref="B11:E11"/>
    <mergeCell ref="F11:P11"/>
    <mergeCell ref="B12:E12"/>
    <mergeCell ref="F12:P12"/>
    <mergeCell ref="B13:E13"/>
    <mergeCell ref="F13:P13"/>
    <mergeCell ref="K20:M20"/>
    <mergeCell ref="B15:E15"/>
    <mergeCell ref="F15:P15"/>
    <mergeCell ref="B18:D18"/>
    <mergeCell ref="E18:G18"/>
    <mergeCell ref="H18:J18"/>
    <mergeCell ref="K18:M18"/>
    <mergeCell ref="N18:P18"/>
    <mergeCell ref="B19:D19"/>
    <mergeCell ref="E19:G19"/>
    <mergeCell ref="H19:J19"/>
    <mergeCell ref="K19:M19"/>
    <mergeCell ref="N19:P19"/>
    <mergeCell ref="H22:J22"/>
    <mergeCell ref="K22:M22"/>
    <mergeCell ref="N22:P22"/>
    <mergeCell ref="H23:J23"/>
    <mergeCell ref="K23:M23"/>
    <mergeCell ref="N23:P23"/>
    <mergeCell ref="B26:G26"/>
    <mergeCell ref="H26:J26"/>
    <mergeCell ref="K26:M26"/>
    <mergeCell ref="N26:P26"/>
    <mergeCell ref="H24:J24"/>
    <mergeCell ref="K24:M24"/>
    <mergeCell ref="N24:P24"/>
    <mergeCell ref="H25:J25"/>
    <mergeCell ref="K25:M25"/>
    <mergeCell ref="N25:P25"/>
  </mergeCells>
  <phoneticPr fontId="6" type="noConversion"/>
  <pageMargins left="0.7" right="0.7" top="0.75" bottom="0.75" header="0.3" footer="0.3"/>
  <pageSetup paperSize="9" orientation="portrait"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2:T57"/>
  <sheetViews>
    <sheetView showGridLines="0" view="pageBreakPreview" zoomScale="55" zoomScaleNormal="70" zoomScaleSheetLayoutView="55" workbookViewId="0">
      <selection activeCell="T2" sqref="T2"/>
    </sheetView>
  </sheetViews>
  <sheetFormatPr defaultColWidth="8.75" defaultRowHeight="15"/>
  <cols>
    <col min="1" max="1" width="1.375" style="958" customWidth="1"/>
    <col min="2" max="2" width="2.625" style="958" customWidth="1"/>
    <col min="3" max="3" width="14.75" style="958" customWidth="1"/>
    <col min="4" max="4" width="13.75" style="958" customWidth="1"/>
    <col min="5" max="5" width="8" style="958" customWidth="1"/>
    <col min="6" max="7" width="4.875" style="958" customWidth="1"/>
    <col min="8" max="8" width="5.625" style="958" customWidth="1"/>
    <col min="9" max="9" width="4.875" style="958" customWidth="1"/>
    <col min="10" max="11" width="6.375" style="958" customWidth="1"/>
    <col min="12" max="12" width="6.125" style="958" customWidth="1"/>
    <col min="13" max="13" width="11" style="958" customWidth="1"/>
    <col min="14" max="14" width="4.75" style="958" customWidth="1"/>
    <col min="15" max="15" width="5.375" style="958" customWidth="1"/>
    <col min="16" max="16" width="5.125" style="958" customWidth="1"/>
    <col min="17" max="17" width="10.5" style="958" customWidth="1"/>
    <col min="18" max="18" width="3.125" style="958" customWidth="1"/>
    <col min="19" max="19" width="8.75" style="958"/>
    <col min="20" max="20" width="15.625" style="958" customWidth="1"/>
    <col min="21" max="16384" width="8.75" style="958"/>
  </cols>
  <sheetData>
    <row r="2" spans="1:20" ht="21.6" customHeight="1">
      <c r="A2" s="972"/>
      <c r="B2" s="2130" t="s">
        <v>612</v>
      </c>
      <c r="C2" s="973"/>
      <c r="D2" s="973"/>
      <c r="E2" s="973"/>
      <c r="F2" s="973"/>
      <c r="G2" s="973"/>
      <c r="H2" s="973"/>
      <c r="I2" s="973"/>
      <c r="J2" s="973"/>
      <c r="K2" s="973"/>
      <c r="L2" s="973"/>
      <c r="M2" s="973"/>
      <c r="N2" s="973"/>
      <c r="O2" s="973"/>
      <c r="P2" s="973"/>
      <c r="Q2" s="973"/>
      <c r="R2" s="973"/>
    </row>
    <row r="3" spans="1:20" s="974" customFormat="1" ht="12" customHeight="1">
      <c r="B3" s="975"/>
      <c r="C3" s="975"/>
      <c r="D3" s="975"/>
      <c r="E3" s="975"/>
      <c r="F3" s="975"/>
      <c r="G3" s="975"/>
      <c r="H3" s="975"/>
      <c r="I3" s="975"/>
      <c r="J3" s="975"/>
      <c r="K3" s="975"/>
      <c r="L3" s="975"/>
      <c r="M3" s="975"/>
      <c r="N3" s="975"/>
      <c r="O3" s="975"/>
      <c r="P3" s="975"/>
      <c r="Q3" s="975"/>
      <c r="R3" s="975"/>
    </row>
    <row r="4" spans="1:20" s="974" customFormat="1" ht="19.899999999999999" customHeight="1">
      <c r="B4" s="956"/>
      <c r="C4" s="976" t="s">
        <v>579</v>
      </c>
      <c r="D4" s="956"/>
      <c r="E4" s="956"/>
      <c r="F4" s="956"/>
      <c r="G4" s="956"/>
      <c r="H4" s="956"/>
      <c r="I4" s="956"/>
      <c r="J4" s="956"/>
      <c r="K4" s="956"/>
      <c r="L4" s="956"/>
      <c r="M4" s="956"/>
      <c r="N4" s="956"/>
      <c r="O4" s="956"/>
      <c r="P4" s="956"/>
      <c r="Q4" s="956"/>
      <c r="R4" s="977"/>
    </row>
    <row r="5" spans="1:20" s="974" customFormat="1" ht="19.899999999999999" customHeight="1">
      <c r="B5" s="978"/>
      <c r="C5" s="2135" t="s">
        <v>38</v>
      </c>
      <c r="D5" s="2135"/>
      <c r="E5" s="2135"/>
      <c r="F5" s="2470" t="s">
        <v>0</v>
      </c>
      <c r="G5" s="2470"/>
      <c r="H5" s="2470"/>
      <c r="I5" s="2470"/>
      <c r="J5" s="2470"/>
      <c r="K5" s="2470"/>
      <c r="L5" s="2470"/>
      <c r="M5" s="2470"/>
      <c r="N5" s="2470"/>
      <c r="O5" s="2470"/>
      <c r="P5" s="2470"/>
      <c r="Q5" s="2470"/>
      <c r="R5" s="977"/>
    </row>
    <row r="6" spans="1:20" s="974" customFormat="1" ht="19.899999999999999" customHeight="1">
      <c r="B6" s="979"/>
      <c r="C6" s="2135" t="s">
        <v>588</v>
      </c>
      <c r="D6" s="2135"/>
      <c r="E6" s="2135"/>
      <c r="F6" s="2532" t="s">
        <v>589</v>
      </c>
      <c r="G6" s="2532"/>
      <c r="H6" s="2532"/>
      <c r="I6" s="2532"/>
      <c r="J6" s="2532"/>
      <c r="K6" s="2532"/>
      <c r="L6" s="2532"/>
      <c r="M6" s="2532"/>
      <c r="N6" s="2532"/>
      <c r="O6" s="2532"/>
      <c r="P6" s="2532"/>
      <c r="Q6" s="2532"/>
      <c r="R6" s="977"/>
    </row>
    <row r="7" spans="1:20" s="974" customFormat="1" ht="19.899999999999999" customHeight="1">
      <c r="B7" s="979"/>
      <c r="C7" s="2135" t="s">
        <v>564</v>
      </c>
      <c r="D7" s="2135"/>
      <c r="E7" s="2135"/>
      <c r="F7" s="2470" t="s">
        <v>562</v>
      </c>
      <c r="G7" s="2470"/>
      <c r="H7" s="2470"/>
      <c r="I7" s="2470"/>
      <c r="J7" s="2470"/>
      <c r="K7" s="2470"/>
      <c r="L7" s="2470"/>
      <c r="M7" s="2470"/>
      <c r="N7" s="2470"/>
      <c r="O7" s="2470"/>
      <c r="P7" s="2470"/>
      <c r="Q7" s="2470"/>
      <c r="R7" s="977"/>
    </row>
    <row r="8" spans="1:20" s="974" customFormat="1" ht="19.899999999999999" customHeight="1">
      <c r="B8" s="978"/>
      <c r="C8" s="2135" t="s">
        <v>583</v>
      </c>
      <c r="D8" s="2135"/>
      <c r="E8" s="2135"/>
      <c r="F8" s="2532" t="s">
        <v>585</v>
      </c>
      <c r="G8" s="2532"/>
      <c r="H8" s="2532"/>
      <c r="I8" s="2532"/>
      <c r="J8" s="2532"/>
      <c r="K8" s="2532"/>
      <c r="L8" s="2532"/>
      <c r="M8" s="2532"/>
      <c r="N8" s="2532"/>
      <c r="O8" s="2532"/>
      <c r="P8" s="2532"/>
      <c r="Q8" s="2532"/>
      <c r="R8" s="977"/>
    </row>
    <row r="9" spans="1:20" s="974" customFormat="1" ht="19.899999999999999" customHeight="1">
      <c r="B9" s="978"/>
      <c r="C9" s="2135" t="s">
        <v>584</v>
      </c>
      <c r="D9" s="2135"/>
      <c r="E9" s="2135"/>
      <c r="F9" s="2532" t="s">
        <v>587</v>
      </c>
      <c r="G9" s="2532"/>
      <c r="H9" s="2532"/>
      <c r="I9" s="2532"/>
      <c r="J9" s="2532"/>
      <c r="K9" s="2532"/>
      <c r="L9" s="2532"/>
      <c r="M9" s="2532"/>
      <c r="N9" s="2532"/>
      <c r="O9" s="2532"/>
      <c r="P9" s="2532"/>
      <c r="Q9" s="2532"/>
      <c r="R9" s="977"/>
    </row>
    <row r="10" spans="1:20" s="974" customFormat="1" ht="19.899999999999999" customHeight="1">
      <c r="B10" s="978"/>
      <c r="C10" s="2135" t="s">
        <v>586</v>
      </c>
      <c r="D10" s="2135"/>
      <c r="E10" s="2135"/>
      <c r="F10" s="2532" t="s">
        <v>39</v>
      </c>
      <c r="G10" s="2532"/>
      <c r="H10" s="2532"/>
      <c r="I10" s="2532"/>
      <c r="J10" s="2532"/>
      <c r="K10" s="2532"/>
      <c r="L10" s="2532"/>
      <c r="M10" s="2532"/>
      <c r="N10" s="2532"/>
      <c r="O10" s="2532"/>
      <c r="P10" s="2532"/>
      <c r="Q10" s="2532"/>
      <c r="R10" s="977"/>
    </row>
    <row r="11" spans="1:20" s="974" customFormat="1" ht="19.899999999999999" customHeight="1">
      <c r="B11" s="978"/>
      <c r="C11" s="2135" t="s">
        <v>563</v>
      </c>
      <c r="D11" s="2135"/>
      <c r="E11" s="2135"/>
      <c r="F11" s="2470" t="s">
        <v>1101</v>
      </c>
      <c r="G11" s="2470"/>
      <c r="H11" s="2470"/>
      <c r="I11" s="2470"/>
      <c r="J11" s="2470"/>
      <c r="K11" s="2470"/>
      <c r="L11" s="2470"/>
      <c r="M11" s="2470"/>
      <c r="N11" s="2470"/>
      <c r="O11" s="2470"/>
      <c r="P11" s="2470"/>
      <c r="Q11" s="2470"/>
      <c r="R11" s="977"/>
    </row>
    <row r="12" spans="1:20" s="974" customFormat="1" ht="16.5" customHeight="1">
      <c r="B12" s="978"/>
      <c r="C12" s="977"/>
      <c r="D12" s="977"/>
      <c r="E12" s="977"/>
      <c r="F12" s="977"/>
      <c r="G12" s="977"/>
      <c r="H12" s="977"/>
      <c r="I12" s="977"/>
      <c r="J12" s="977"/>
      <c r="K12" s="977"/>
      <c r="L12" s="977"/>
      <c r="M12" s="977"/>
      <c r="N12" s="977"/>
      <c r="O12" s="977"/>
      <c r="P12" s="977"/>
      <c r="Q12" s="956"/>
      <c r="R12" s="977"/>
    </row>
    <row r="13" spans="1:20" s="974" customFormat="1" ht="16.5" hidden="1" customHeight="1">
      <c r="B13" s="978"/>
      <c r="C13" s="980" t="s">
        <v>2078</v>
      </c>
      <c r="D13" s="956"/>
      <c r="E13" s="956"/>
      <c r="F13" s="956"/>
      <c r="G13" s="956"/>
      <c r="H13" s="956"/>
      <c r="I13" s="956"/>
      <c r="J13" s="956"/>
      <c r="K13" s="956"/>
      <c r="L13" s="956"/>
      <c r="M13" s="956"/>
      <c r="N13" s="956"/>
      <c r="O13" s="956"/>
      <c r="P13" s="956"/>
      <c r="Q13" s="981" t="s">
        <v>40</v>
      </c>
      <c r="R13" s="977"/>
    </row>
    <row r="14" spans="1:20" s="974" customFormat="1" ht="16.5" hidden="1" customHeight="1">
      <c r="B14" s="978"/>
      <c r="C14" s="2533" t="s">
        <v>33</v>
      </c>
      <c r="D14" s="2534"/>
      <c r="E14" s="2534"/>
      <c r="F14" s="2535" t="s">
        <v>41</v>
      </c>
      <c r="G14" s="2534"/>
      <c r="H14" s="2534"/>
      <c r="I14" s="2534"/>
      <c r="J14" s="2536"/>
      <c r="K14" s="2535" t="s">
        <v>42</v>
      </c>
      <c r="L14" s="2534"/>
      <c r="M14" s="2534"/>
      <c r="N14" s="2536"/>
      <c r="O14" s="2535" t="s">
        <v>43</v>
      </c>
      <c r="P14" s="2534"/>
      <c r="Q14" s="2537"/>
      <c r="R14" s="977"/>
    </row>
    <row r="15" spans="1:20" s="974" customFormat="1" ht="16.5" hidden="1" customHeight="1">
      <c r="B15" s="978"/>
      <c r="C15" s="2509" t="s">
        <v>44</v>
      </c>
      <c r="D15" s="2510"/>
      <c r="E15" s="2510"/>
      <c r="F15" s="2511" t="e">
        <f>#REF!</f>
        <v>#REF!</v>
      </c>
      <c r="G15" s="2512"/>
      <c r="H15" s="2512"/>
      <c r="I15" s="2512"/>
      <c r="J15" s="2513"/>
      <c r="K15" s="2514" t="e">
        <f>#REF!</f>
        <v>#REF!</v>
      </c>
      <c r="L15" s="2515"/>
      <c r="M15" s="2515"/>
      <c r="N15" s="2516"/>
      <c r="O15" s="2517" t="e">
        <f>(K15/F15)-1</f>
        <v>#REF!</v>
      </c>
      <c r="P15" s="2518"/>
      <c r="Q15" s="2519"/>
      <c r="R15" s="977"/>
      <c r="T15" s="982"/>
    </row>
    <row r="16" spans="1:20" s="974" customFormat="1" ht="16.5" hidden="1" customHeight="1">
      <c r="B16" s="978"/>
      <c r="C16" s="2509" t="s">
        <v>45</v>
      </c>
      <c r="D16" s="2510"/>
      <c r="E16" s="2531"/>
      <c r="F16" s="2511" t="e">
        <f>#REF!</f>
        <v>#REF!</v>
      </c>
      <c r="G16" s="2512"/>
      <c r="H16" s="2512"/>
      <c r="I16" s="2512"/>
      <c r="J16" s="2513"/>
      <c r="K16" s="2514" t="e">
        <f>#REF!</f>
        <v>#REF!</v>
      </c>
      <c r="L16" s="2515"/>
      <c r="M16" s="2515"/>
      <c r="N16" s="2516"/>
      <c r="O16" s="2517" t="e">
        <f>(K16/F16)-1</f>
        <v>#REF!</v>
      </c>
      <c r="P16" s="2518"/>
      <c r="Q16" s="2519"/>
      <c r="R16" s="977"/>
      <c r="T16" s="982"/>
    </row>
    <row r="17" spans="2:20" s="974" customFormat="1" ht="16.5" hidden="1" customHeight="1">
      <c r="B17" s="978"/>
      <c r="C17" s="2509" t="s">
        <v>46</v>
      </c>
      <c r="D17" s="2510"/>
      <c r="E17" s="2510"/>
      <c r="F17" s="2511" t="e">
        <f>#REF!</f>
        <v>#REF!</v>
      </c>
      <c r="G17" s="2512"/>
      <c r="H17" s="2512"/>
      <c r="I17" s="2512"/>
      <c r="J17" s="2513"/>
      <c r="K17" s="2514" t="e">
        <f>#REF!</f>
        <v>#REF!</v>
      </c>
      <c r="L17" s="2515"/>
      <c r="M17" s="2515"/>
      <c r="N17" s="2516"/>
      <c r="O17" s="2517" t="e">
        <f>(K17/F17)-1</f>
        <v>#REF!</v>
      </c>
      <c r="P17" s="2518"/>
      <c r="Q17" s="2519"/>
      <c r="R17" s="977"/>
      <c r="T17" s="982"/>
    </row>
    <row r="18" spans="2:20" s="974" customFormat="1" ht="16.5" hidden="1" customHeight="1">
      <c r="B18" s="978"/>
      <c r="C18" s="2520" t="s">
        <v>47</v>
      </c>
      <c r="D18" s="2521"/>
      <c r="E18" s="2521"/>
      <c r="F18" s="2522" t="e">
        <f>#REF!</f>
        <v>#REF!</v>
      </c>
      <c r="G18" s="2523"/>
      <c r="H18" s="2523"/>
      <c r="I18" s="2523"/>
      <c r="J18" s="2524"/>
      <c r="K18" s="2525" t="e">
        <f>#REF!</f>
        <v>#REF!</v>
      </c>
      <c r="L18" s="2526"/>
      <c r="M18" s="2526"/>
      <c r="N18" s="2527"/>
      <c r="O18" s="2528" t="e">
        <f>(K18/F18)-1</f>
        <v>#REF!</v>
      </c>
      <c r="P18" s="2529"/>
      <c r="Q18" s="2530"/>
      <c r="R18" s="977"/>
      <c r="T18" s="982"/>
    </row>
    <row r="19" spans="2:20" s="974" customFormat="1" ht="16.5" hidden="1" customHeight="1">
      <c r="B19" s="978"/>
      <c r="C19" s="2497" t="s">
        <v>37</v>
      </c>
      <c r="D19" s="2498"/>
      <c r="E19" s="2498"/>
      <c r="F19" s="2499" t="e">
        <f>SUM(F15:J18)</f>
        <v>#REF!</v>
      </c>
      <c r="G19" s="2500"/>
      <c r="H19" s="2500"/>
      <c r="I19" s="2500"/>
      <c r="J19" s="2501"/>
      <c r="K19" s="2502" t="e">
        <f>SUM(K15:N18)</f>
        <v>#REF!</v>
      </c>
      <c r="L19" s="2503"/>
      <c r="M19" s="2503"/>
      <c r="N19" s="2504"/>
      <c r="O19" s="2505" t="e">
        <f>(K19/F19)-1</f>
        <v>#REF!</v>
      </c>
      <c r="P19" s="2506"/>
      <c r="Q19" s="2507"/>
      <c r="R19" s="977"/>
      <c r="T19" s="982"/>
    </row>
    <row r="20" spans="2:20" s="974" customFormat="1" ht="16.5" customHeight="1">
      <c r="B20" s="958"/>
      <c r="R20" s="958"/>
      <c r="T20" s="982"/>
    </row>
    <row r="21" spans="2:20" s="974" customFormat="1" ht="26.25" customHeight="1">
      <c r="B21" s="958"/>
      <c r="C21" s="976" t="s">
        <v>48</v>
      </c>
      <c r="D21" s="958"/>
      <c r="E21" s="958"/>
      <c r="F21" s="958"/>
      <c r="G21" s="958"/>
      <c r="H21" s="958"/>
      <c r="I21" s="958"/>
      <c r="J21" s="958"/>
      <c r="K21" s="958"/>
      <c r="L21" s="958"/>
      <c r="M21" s="958"/>
      <c r="N21" s="958"/>
      <c r="O21" s="958"/>
      <c r="P21" s="958"/>
      <c r="Q21" s="2250" t="s">
        <v>49</v>
      </c>
      <c r="R21" s="958"/>
    </row>
    <row r="22" spans="2:20" s="974" customFormat="1" ht="34.15" customHeight="1">
      <c r="B22" s="958"/>
      <c r="C22" s="2466" t="s">
        <v>50</v>
      </c>
      <c r="D22" s="2466"/>
      <c r="E22" s="2466"/>
      <c r="F22" s="2466" t="s">
        <v>51</v>
      </c>
      <c r="G22" s="2466"/>
      <c r="H22" s="2466"/>
      <c r="I22" s="2466" t="s">
        <v>52</v>
      </c>
      <c r="J22" s="2466"/>
      <c r="K22" s="2466"/>
      <c r="L22" s="2508" t="s">
        <v>53</v>
      </c>
      <c r="M22" s="2466"/>
      <c r="N22" s="2466" t="s">
        <v>54</v>
      </c>
      <c r="O22" s="2466"/>
      <c r="P22" s="2466"/>
      <c r="Q22" s="2247" t="s">
        <v>2226</v>
      </c>
      <c r="R22" s="958"/>
    </row>
    <row r="23" spans="2:20" s="983" customFormat="1" ht="19.899999999999999" customHeight="1">
      <c r="C23" s="2495" t="s">
        <v>2093</v>
      </c>
      <c r="D23" s="2495"/>
      <c r="E23" s="2495"/>
      <c r="F23" s="2485" t="s">
        <v>55</v>
      </c>
      <c r="G23" s="2485"/>
      <c r="H23" s="2485"/>
      <c r="I23" s="2496">
        <v>0.49609999999999999</v>
      </c>
      <c r="J23" s="2496"/>
      <c r="K23" s="2496"/>
      <c r="L23" s="2489" t="s">
        <v>56</v>
      </c>
      <c r="M23" s="2485"/>
      <c r="N23" s="2490" t="s">
        <v>57</v>
      </c>
      <c r="O23" s="2490"/>
      <c r="P23" s="2490"/>
      <c r="Q23" s="2131" t="s">
        <v>58</v>
      </c>
      <c r="T23" s="983" t="s">
        <v>2076</v>
      </c>
    </row>
    <row r="24" spans="2:20" s="983" customFormat="1" ht="19.899999999999999" customHeight="1">
      <c r="C24" s="2495"/>
      <c r="D24" s="2495"/>
      <c r="E24" s="2495"/>
      <c r="F24" s="2476" t="s">
        <v>59</v>
      </c>
      <c r="G24" s="2476"/>
      <c r="H24" s="2476"/>
      <c r="I24" s="2496"/>
      <c r="J24" s="2496"/>
      <c r="K24" s="2496"/>
      <c r="L24" s="2485"/>
      <c r="M24" s="2485"/>
      <c r="N24" s="2490"/>
      <c r="O24" s="2490"/>
      <c r="P24" s="2490"/>
      <c r="Q24" s="2129" t="s">
        <v>58</v>
      </c>
    </row>
    <row r="25" spans="2:20" s="983" customFormat="1" ht="19.899999999999999" customHeight="1">
      <c r="C25" s="2489" t="s">
        <v>60</v>
      </c>
      <c r="D25" s="2489"/>
      <c r="E25" s="2489"/>
      <c r="F25" s="2476" t="s">
        <v>61</v>
      </c>
      <c r="G25" s="2476"/>
      <c r="H25" s="2476"/>
      <c r="I25" s="2494">
        <v>8.6599999999999996E-2</v>
      </c>
      <c r="J25" s="2494"/>
      <c r="K25" s="2494"/>
      <c r="L25" s="2489" t="s">
        <v>56</v>
      </c>
      <c r="M25" s="2485"/>
      <c r="N25" s="2490" t="s">
        <v>62</v>
      </c>
      <c r="O25" s="2490"/>
      <c r="P25" s="2490"/>
      <c r="Q25" s="2129" t="s">
        <v>58</v>
      </c>
    </row>
    <row r="26" spans="2:20" s="983" customFormat="1" ht="19.899999999999999" customHeight="1">
      <c r="C26" s="2489"/>
      <c r="D26" s="2489"/>
      <c r="E26" s="2489"/>
      <c r="F26" s="2476" t="s">
        <v>59</v>
      </c>
      <c r="G26" s="2476"/>
      <c r="H26" s="2476"/>
      <c r="I26" s="2494"/>
      <c r="J26" s="2494"/>
      <c r="K26" s="2494"/>
      <c r="L26" s="2485"/>
      <c r="M26" s="2485"/>
      <c r="N26" s="2490"/>
      <c r="O26" s="2490"/>
      <c r="P26" s="2490"/>
      <c r="Q26" s="2129" t="s">
        <v>58</v>
      </c>
    </row>
    <row r="27" spans="2:20" s="983" customFormat="1" ht="19.899999999999999" customHeight="1">
      <c r="C27" s="2489" t="s">
        <v>63</v>
      </c>
      <c r="D27" s="2485"/>
      <c r="E27" s="2485"/>
      <c r="F27" s="2476" t="s">
        <v>64</v>
      </c>
      <c r="G27" s="2476"/>
      <c r="H27" s="2476"/>
      <c r="I27" s="2487">
        <v>4.3299999999999998E-2</v>
      </c>
      <c r="J27" s="2485"/>
      <c r="K27" s="2485"/>
      <c r="L27" s="2489" t="s">
        <v>56</v>
      </c>
      <c r="M27" s="2485"/>
      <c r="N27" s="2490" t="s">
        <v>65</v>
      </c>
      <c r="O27" s="2490"/>
      <c r="P27" s="2490"/>
      <c r="Q27" s="2129" t="s">
        <v>58</v>
      </c>
      <c r="T27" s="2138">
        <v>63000000000</v>
      </c>
    </row>
    <row r="28" spans="2:20" s="983" customFormat="1" ht="19.899999999999999" customHeight="1">
      <c r="C28" s="2485"/>
      <c r="D28" s="2485"/>
      <c r="E28" s="2485"/>
      <c r="F28" s="2476" t="s">
        <v>59</v>
      </c>
      <c r="G28" s="2476"/>
      <c r="H28" s="2476"/>
      <c r="I28" s="2485"/>
      <c r="J28" s="2485"/>
      <c r="K28" s="2485"/>
      <c r="L28" s="2485"/>
      <c r="M28" s="2485"/>
      <c r="N28" s="2490"/>
      <c r="O28" s="2490"/>
      <c r="P28" s="2490"/>
      <c r="Q28" s="2129" t="s">
        <v>58</v>
      </c>
      <c r="T28" s="2138">
        <v>11000000000</v>
      </c>
    </row>
    <row r="29" spans="2:20" s="983" customFormat="1" ht="19.899999999999999" customHeight="1">
      <c r="C29" s="2485" t="s">
        <v>66</v>
      </c>
      <c r="D29" s="2485"/>
      <c r="E29" s="2485"/>
      <c r="F29" s="2476" t="s">
        <v>67</v>
      </c>
      <c r="G29" s="2476"/>
      <c r="H29" s="2476"/>
      <c r="I29" s="2487">
        <v>3.9399999999999998E-2</v>
      </c>
      <c r="J29" s="2485"/>
      <c r="K29" s="2485"/>
      <c r="L29" s="2489" t="s">
        <v>68</v>
      </c>
      <c r="M29" s="2485"/>
      <c r="N29" s="2490" t="s">
        <v>69</v>
      </c>
      <c r="O29" s="2490"/>
      <c r="P29" s="2490"/>
      <c r="Q29" s="2129" t="s">
        <v>58</v>
      </c>
      <c r="T29" s="2138">
        <v>5500000000</v>
      </c>
    </row>
    <row r="30" spans="2:20" s="983" customFormat="1" ht="19.899999999999999" customHeight="1">
      <c r="C30" s="2485"/>
      <c r="D30" s="2485"/>
      <c r="E30" s="2485"/>
      <c r="F30" s="2476" t="s">
        <v>59</v>
      </c>
      <c r="G30" s="2476"/>
      <c r="H30" s="2476"/>
      <c r="I30" s="2485"/>
      <c r="J30" s="2485"/>
      <c r="K30" s="2485"/>
      <c r="L30" s="2485"/>
      <c r="M30" s="2485"/>
      <c r="N30" s="2490"/>
      <c r="O30" s="2490"/>
      <c r="P30" s="2490"/>
      <c r="Q30" s="2129" t="s">
        <v>58</v>
      </c>
      <c r="T30" s="2138">
        <v>4800000000</v>
      </c>
    </row>
    <row r="31" spans="2:20" s="983" customFormat="1" ht="19.899999999999999" customHeight="1">
      <c r="C31" s="2489" t="s">
        <v>70</v>
      </c>
      <c r="D31" s="2485"/>
      <c r="E31" s="2485"/>
      <c r="F31" s="2476" t="s">
        <v>71</v>
      </c>
      <c r="G31" s="2476"/>
      <c r="H31" s="2476"/>
      <c r="I31" s="2487">
        <v>2.3599999999999999E-2</v>
      </c>
      <c r="J31" s="2485"/>
      <c r="K31" s="2485"/>
      <c r="L31" s="2489" t="s">
        <v>56</v>
      </c>
      <c r="M31" s="2485"/>
      <c r="N31" s="2490" t="s">
        <v>72</v>
      </c>
      <c r="O31" s="2490"/>
      <c r="P31" s="2490"/>
      <c r="Q31" s="2129" t="s">
        <v>58</v>
      </c>
      <c r="T31" s="2138">
        <v>3000000000</v>
      </c>
    </row>
    <row r="32" spans="2:20" s="983" customFormat="1" ht="19.899999999999999" customHeight="1">
      <c r="C32" s="2485"/>
      <c r="D32" s="2485"/>
      <c r="E32" s="2485"/>
      <c r="F32" s="2476" t="s">
        <v>59</v>
      </c>
      <c r="G32" s="2476"/>
      <c r="H32" s="2476"/>
      <c r="I32" s="2485"/>
      <c r="J32" s="2485"/>
      <c r="K32" s="2485"/>
      <c r="L32" s="2485"/>
      <c r="M32" s="2485"/>
      <c r="N32" s="2490"/>
      <c r="O32" s="2490"/>
      <c r="P32" s="2490"/>
      <c r="Q32" s="2129" t="s">
        <v>58</v>
      </c>
      <c r="T32" s="2138">
        <v>2500000000</v>
      </c>
    </row>
    <row r="33" spans="3:20" s="983" customFormat="1" ht="19.899999999999999" customHeight="1">
      <c r="C33" s="2485" t="s">
        <v>73</v>
      </c>
      <c r="D33" s="2485"/>
      <c r="E33" s="2485"/>
      <c r="F33" s="2476" t="s">
        <v>74</v>
      </c>
      <c r="G33" s="2476"/>
      <c r="H33" s="2476"/>
      <c r="I33" s="2487">
        <v>1.9699999999999999E-2</v>
      </c>
      <c r="J33" s="2485"/>
      <c r="K33" s="2485"/>
      <c r="L33" s="2489" t="s">
        <v>56</v>
      </c>
      <c r="M33" s="2485"/>
      <c r="N33" s="2490" t="s">
        <v>75</v>
      </c>
      <c r="O33" s="2490"/>
      <c r="P33" s="2490"/>
      <c r="Q33" s="2129" t="s">
        <v>58</v>
      </c>
      <c r="T33" s="2138">
        <v>2000000000</v>
      </c>
    </row>
    <row r="34" spans="3:20" s="983" customFormat="1" ht="19.899999999999999" customHeight="1">
      <c r="C34" s="2485"/>
      <c r="D34" s="2485"/>
      <c r="E34" s="2485"/>
      <c r="F34" s="2476" t="s">
        <v>59</v>
      </c>
      <c r="G34" s="2476"/>
      <c r="H34" s="2476"/>
      <c r="I34" s="2485"/>
      <c r="J34" s="2485"/>
      <c r="K34" s="2485"/>
      <c r="L34" s="2485"/>
      <c r="M34" s="2485"/>
      <c r="N34" s="2490"/>
      <c r="O34" s="2490"/>
      <c r="P34" s="2490"/>
      <c r="Q34" s="2129" t="s">
        <v>58</v>
      </c>
      <c r="T34" s="2138">
        <v>9600000000</v>
      </c>
    </row>
    <row r="35" spans="3:20" s="983" customFormat="1" ht="19.899999999999999" customHeight="1">
      <c r="C35" s="2489" t="s">
        <v>76</v>
      </c>
      <c r="D35" s="2485"/>
      <c r="E35" s="2485"/>
      <c r="F35" s="2476" t="s">
        <v>77</v>
      </c>
      <c r="G35" s="2476"/>
      <c r="H35" s="2476"/>
      <c r="I35" s="2487">
        <v>1.5699999999999999E-2</v>
      </c>
      <c r="J35" s="2485"/>
      <c r="K35" s="2485"/>
      <c r="L35" s="2489" t="s">
        <v>56</v>
      </c>
      <c r="M35" s="2485"/>
      <c r="N35" s="2490" t="s">
        <v>78</v>
      </c>
      <c r="O35" s="2490"/>
      <c r="P35" s="2490"/>
      <c r="Q35" s="2129" t="s">
        <v>58</v>
      </c>
      <c r="T35" s="2138">
        <v>5390000000</v>
      </c>
    </row>
    <row r="36" spans="3:20" s="983" customFormat="1" ht="19.899999999999999" customHeight="1">
      <c r="C36" s="2485"/>
      <c r="D36" s="2485"/>
      <c r="E36" s="2485"/>
      <c r="F36" s="2476" t="s">
        <v>59</v>
      </c>
      <c r="G36" s="2476"/>
      <c r="H36" s="2476"/>
      <c r="I36" s="2485"/>
      <c r="J36" s="2485"/>
      <c r="K36" s="2485"/>
      <c r="L36" s="2485"/>
      <c r="M36" s="2485"/>
      <c r="N36" s="2490"/>
      <c r="O36" s="2490"/>
      <c r="P36" s="2490"/>
      <c r="Q36" s="2129" t="s">
        <v>58</v>
      </c>
      <c r="T36" s="2138">
        <v>4320000000</v>
      </c>
    </row>
    <row r="37" spans="3:20" s="983" customFormat="1" ht="19.899999999999999" customHeight="1">
      <c r="C37" s="2485" t="s">
        <v>79</v>
      </c>
      <c r="D37" s="2485"/>
      <c r="E37" s="2485"/>
      <c r="F37" s="2476" t="s">
        <v>80</v>
      </c>
      <c r="G37" s="2476"/>
      <c r="H37" s="2476"/>
      <c r="I37" s="2487">
        <v>7.8700000000000006E-2</v>
      </c>
      <c r="J37" s="2487"/>
      <c r="K37" s="2487"/>
      <c r="L37" s="2493" t="s">
        <v>68</v>
      </c>
      <c r="M37" s="2476"/>
      <c r="N37" s="2490" t="s">
        <v>81</v>
      </c>
      <c r="O37" s="2490"/>
      <c r="P37" s="2490"/>
      <c r="Q37" s="2129" t="s">
        <v>58</v>
      </c>
      <c r="T37" s="2138">
        <v>5000000000</v>
      </c>
    </row>
    <row r="38" spans="3:20" s="983" customFormat="1" ht="19.899999999999999" customHeight="1">
      <c r="C38" s="2485"/>
      <c r="D38" s="2485"/>
      <c r="E38" s="2485"/>
      <c r="F38" s="2476" t="s">
        <v>82</v>
      </c>
      <c r="G38" s="2476"/>
      <c r="H38" s="2476"/>
      <c r="I38" s="2487"/>
      <c r="J38" s="2487"/>
      <c r="K38" s="2487"/>
      <c r="L38" s="2476"/>
      <c r="M38" s="2476"/>
      <c r="N38" s="2490"/>
      <c r="O38" s="2490"/>
      <c r="P38" s="2490"/>
      <c r="Q38" s="2129" t="s">
        <v>58</v>
      </c>
      <c r="T38" s="2138">
        <v>4000000000</v>
      </c>
    </row>
    <row r="39" spans="3:20" s="983" customFormat="1" ht="19.899999999999999" customHeight="1">
      <c r="C39" s="2489" t="s">
        <v>83</v>
      </c>
      <c r="D39" s="2489"/>
      <c r="E39" s="2489"/>
      <c r="F39" s="2476" t="s">
        <v>64</v>
      </c>
      <c r="G39" s="2476"/>
      <c r="H39" s="2476"/>
      <c r="I39" s="2487">
        <v>4.3299999999999998E-2</v>
      </c>
      <c r="J39" s="2487"/>
      <c r="K39" s="2487"/>
      <c r="L39" s="2489" t="s">
        <v>84</v>
      </c>
      <c r="M39" s="2485"/>
      <c r="N39" s="2490" t="s">
        <v>85</v>
      </c>
      <c r="O39" s="2490"/>
      <c r="P39" s="2490"/>
      <c r="Q39" s="2129" t="s">
        <v>58</v>
      </c>
      <c r="T39" s="2138">
        <v>3000000000</v>
      </c>
    </row>
    <row r="40" spans="3:20" s="983" customFormat="1" ht="19.899999999999999" customHeight="1">
      <c r="C40" s="2489"/>
      <c r="D40" s="2489"/>
      <c r="E40" s="2489"/>
      <c r="F40" s="2476" t="s">
        <v>82</v>
      </c>
      <c r="G40" s="2476"/>
      <c r="H40" s="2476"/>
      <c r="I40" s="2487"/>
      <c r="J40" s="2487"/>
      <c r="K40" s="2487"/>
      <c r="L40" s="2485"/>
      <c r="M40" s="2485"/>
      <c r="N40" s="2490"/>
      <c r="O40" s="2490"/>
      <c r="P40" s="2490"/>
      <c r="Q40" s="2129" t="s">
        <v>58</v>
      </c>
      <c r="T40" s="2138">
        <v>3000000000</v>
      </c>
    </row>
    <row r="41" spans="3:20" s="983" customFormat="1" ht="19.899999999999999" customHeight="1">
      <c r="C41" s="2485" t="s">
        <v>86</v>
      </c>
      <c r="D41" s="2485"/>
      <c r="E41" s="2485"/>
      <c r="F41" s="2476" t="s">
        <v>87</v>
      </c>
      <c r="G41" s="2476"/>
      <c r="H41" s="2476"/>
      <c r="I41" s="2487">
        <v>3.5400000000000001E-2</v>
      </c>
      <c r="J41" s="2487"/>
      <c r="K41" s="2487"/>
      <c r="L41" s="2489" t="s">
        <v>68</v>
      </c>
      <c r="M41" s="2485"/>
      <c r="N41" s="2490" t="s">
        <v>88</v>
      </c>
      <c r="O41" s="2490"/>
      <c r="P41" s="2490"/>
      <c r="Q41" s="2129" t="s">
        <v>58</v>
      </c>
      <c r="T41" s="2138">
        <f>SUM(T27:T40)</f>
        <v>126110000000</v>
      </c>
    </row>
    <row r="42" spans="3:20" s="983" customFormat="1" ht="19.899999999999999" customHeight="1">
      <c r="C42" s="2486"/>
      <c r="D42" s="2486"/>
      <c r="E42" s="2486"/>
      <c r="F42" s="2492" t="s">
        <v>82</v>
      </c>
      <c r="G42" s="2492"/>
      <c r="H42" s="2492"/>
      <c r="I42" s="2488"/>
      <c r="J42" s="2488"/>
      <c r="K42" s="2488"/>
      <c r="L42" s="2486"/>
      <c r="M42" s="2486"/>
      <c r="N42" s="2491"/>
      <c r="O42" s="2491"/>
      <c r="P42" s="2491"/>
      <c r="Q42" s="2132" t="s">
        <v>58</v>
      </c>
    </row>
    <row r="43" spans="3:20" s="983" customFormat="1" ht="19.899999999999999" customHeight="1">
      <c r="C43" s="2482" t="s">
        <v>89</v>
      </c>
      <c r="D43" s="2482"/>
      <c r="E43" s="2482"/>
      <c r="F43" s="2482" t="s">
        <v>67</v>
      </c>
      <c r="G43" s="2482"/>
      <c r="H43" s="2482"/>
      <c r="I43" s="2483">
        <v>3.9399999999999998E-2</v>
      </c>
      <c r="J43" s="2482"/>
      <c r="K43" s="2482"/>
      <c r="L43" s="2482" t="s">
        <v>90</v>
      </c>
      <c r="M43" s="2482"/>
      <c r="N43" s="2484" t="s">
        <v>91</v>
      </c>
      <c r="O43" s="2484"/>
      <c r="P43" s="2484"/>
      <c r="Q43" s="2134" t="s">
        <v>58</v>
      </c>
    </row>
    <row r="44" spans="3:20" s="983" customFormat="1" ht="19.899999999999999" customHeight="1">
      <c r="C44" s="2482" t="s">
        <v>92</v>
      </c>
      <c r="D44" s="2482"/>
      <c r="E44" s="2482"/>
      <c r="F44" s="2482" t="s">
        <v>93</v>
      </c>
      <c r="G44" s="2482"/>
      <c r="H44" s="2482"/>
      <c r="I44" s="2483">
        <v>3.15E-2</v>
      </c>
      <c r="J44" s="2482"/>
      <c r="K44" s="2482"/>
      <c r="L44" s="2482" t="s">
        <v>90</v>
      </c>
      <c r="M44" s="2482"/>
      <c r="N44" s="2484" t="s">
        <v>94</v>
      </c>
      <c r="O44" s="2484"/>
      <c r="P44" s="2484"/>
      <c r="Q44" s="2134" t="s">
        <v>58</v>
      </c>
    </row>
    <row r="45" spans="3:20" s="983" customFormat="1" ht="19.899999999999999" customHeight="1">
      <c r="C45" s="2482" t="s">
        <v>95</v>
      </c>
      <c r="D45" s="2482"/>
      <c r="E45" s="2482"/>
      <c r="F45" s="2482" t="s">
        <v>71</v>
      </c>
      <c r="G45" s="2482"/>
      <c r="H45" s="2482"/>
      <c r="I45" s="2483">
        <v>2.3599999999999999E-2</v>
      </c>
      <c r="J45" s="2482"/>
      <c r="K45" s="2482"/>
      <c r="L45" s="2482" t="s">
        <v>90</v>
      </c>
      <c r="M45" s="2482"/>
      <c r="N45" s="2484" t="s">
        <v>72</v>
      </c>
      <c r="O45" s="2484"/>
      <c r="P45" s="2484"/>
      <c r="Q45" s="2134" t="s">
        <v>58</v>
      </c>
    </row>
    <row r="46" spans="3:20" s="983" customFormat="1" ht="19.899999999999999" customHeight="1">
      <c r="C46" s="2482" t="s">
        <v>96</v>
      </c>
      <c r="D46" s="2482"/>
      <c r="E46" s="2482"/>
      <c r="F46" s="2482" t="s">
        <v>71</v>
      </c>
      <c r="G46" s="2482"/>
      <c r="H46" s="2482"/>
      <c r="I46" s="2483">
        <v>2.3599999999999999E-2</v>
      </c>
      <c r="J46" s="2482"/>
      <c r="K46" s="2482"/>
      <c r="L46" s="2482" t="s">
        <v>90</v>
      </c>
      <c r="M46" s="2482"/>
      <c r="N46" s="2484" t="s">
        <v>72</v>
      </c>
      <c r="O46" s="2484"/>
      <c r="P46" s="2484"/>
      <c r="Q46" s="2134" t="s">
        <v>58</v>
      </c>
    </row>
    <row r="47" spans="3:20" s="983" customFormat="1" ht="19.899999999999999" customHeight="1">
      <c r="C47" s="2463" t="s">
        <v>37</v>
      </c>
      <c r="D47" s="2463"/>
      <c r="E47" s="2463"/>
      <c r="F47" s="2480" t="s">
        <v>97</v>
      </c>
      <c r="G47" s="2480"/>
      <c r="H47" s="2480"/>
      <c r="I47" s="2481">
        <f>SUM(I23:K46)</f>
        <v>0.9998999999999999</v>
      </c>
      <c r="J47" s="2480"/>
      <c r="K47" s="2480"/>
      <c r="L47" s="2480" t="s">
        <v>98</v>
      </c>
      <c r="M47" s="2480"/>
      <c r="N47" s="2480"/>
      <c r="O47" s="2480"/>
      <c r="P47" s="2480"/>
      <c r="Q47" s="2248"/>
    </row>
    <row r="48" spans="3:20" s="983" customFormat="1" ht="16.5" customHeight="1">
      <c r="C48" s="984" t="s">
        <v>99</v>
      </c>
      <c r="D48" s="985"/>
      <c r="E48" s="985"/>
      <c r="F48" s="985"/>
      <c r="G48" s="985"/>
      <c r="H48" s="985"/>
      <c r="I48" s="986"/>
      <c r="J48" s="985"/>
      <c r="K48" s="985"/>
      <c r="L48" s="985"/>
      <c r="M48" s="985"/>
      <c r="N48" s="987"/>
      <c r="O48" s="987"/>
      <c r="P48" s="987"/>
      <c r="Q48" s="988"/>
    </row>
    <row r="49" spans="3:17" s="983" customFormat="1" ht="16.5" customHeight="1"/>
    <row r="50" spans="3:17" s="983" customFormat="1" ht="16.5" customHeight="1">
      <c r="C50" s="976" t="s">
        <v>100</v>
      </c>
      <c r="D50" s="958"/>
      <c r="E50" s="958"/>
      <c r="F50" s="958"/>
      <c r="G50" s="958"/>
      <c r="H50" s="958"/>
      <c r="I50" s="958"/>
      <c r="J50" s="958"/>
      <c r="K50" s="958"/>
      <c r="L50" s="958"/>
      <c r="M50" s="958"/>
      <c r="N50" s="958"/>
      <c r="O50" s="958"/>
      <c r="P50" s="958"/>
      <c r="Q50" s="981" t="s">
        <v>49</v>
      </c>
    </row>
    <row r="51" spans="3:17" s="983" customFormat="1" ht="19.899999999999999" customHeight="1">
      <c r="C51" s="2466" t="s">
        <v>101</v>
      </c>
      <c r="D51" s="2466"/>
      <c r="E51" s="2245" t="s">
        <v>102</v>
      </c>
      <c r="F51" s="2466" t="s">
        <v>103</v>
      </c>
      <c r="G51" s="2466"/>
      <c r="H51" s="2466"/>
      <c r="I51" s="2466" t="s">
        <v>104</v>
      </c>
      <c r="J51" s="2466"/>
      <c r="K51" s="2466"/>
      <c r="L51" s="2466" t="s">
        <v>105</v>
      </c>
      <c r="M51" s="2466"/>
      <c r="N51" s="2245" t="s">
        <v>106</v>
      </c>
      <c r="O51" s="2466" t="s">
        <v>107</v>
      </c>
      <c r="P51" s="2466"/>
      <c r="Q51" s="2466"/>
    </row>
    <row r="52" spans="3:17" ht="19.899999999999999" customHeight="1">
      <c r="C52" s="2476" t="s">
        <v>108</v>
      </c>
      <c r="D52" s="2476"/>
      <c r="E52" s="2129" t="s">
        <v>109</v>
      </c>
      <c r="F52" s="2477">
        <v>188000000000</v>
      </c>
      <c r="G52" s="2477"/>
      <c r="H52" s="2477"/>
      <c r="I52" s="2478">
        <v>0</v>
      </c>
      <c r="J52" s="2476"/>
      <c r="K52" s="2476"/>
      <c r="L52" s="2477">
        <v>188000000000</v>
      </c>
      <c r="M52" s="2477"/>
      <c r="N52" s="2133">
        <v>2.8000000000000001E-2</v>
      </c>
      <c r="O52" s="2476" t="s">
        <v>110</v>
      </c>
      <c r="P52" s="2476"/>
      <c r="Q52" s="2476"/>
    </row>
    <row r="53" spans="3:17" ht="19.899999999999999" customHeight="1">
      <c r="C53" s="2476" t="s">
        <v>111</v>
      </c>
      <c r="D53" s="2476"/>
      <c r="E53" s="2129" t="s">
        <v>109</v>
      </c>
      <c r="F53" s="2477">
        <v>40000000000</v>
      </c>
      <c r="G53" s="2477"/>
      <c r="H53" s="2477"/>
      <c r="I53" s="2478">
        <v>0</v>
      </c>
      <c r="J53" s="2476"/>
      <c r="K53" s="2476"/>
      <c r="L53" s="2477">
        <v>40000000000</v>
      </c>
      <c r="M53" s="2477"/>
      <c r="N53" s="2133">
        <v>2.8000000000000001E-2</v>
      </c>
      <c r="O53" s="2476" t="s">
        <v>110</v>
      </c>
      <c r="P53" s="2476"/>
      <c r="Q53" s="2476"/>
    </row>
    <row r="54" spans="3:17" ht="19.899999999999999" customHeight="1">
      <c r="C54" s="2476" t="s">
        <v>1671</v>
      </c>
      <c r="D54" s="2476"/>
      <c r="E54" s="2129" t="s">
        <v>109</v>
      </c>
      <c r="F54" s="2477">
        <v>30000000000</v>
      </c>
      <c r="G54" s="2477"/>
      <c r="H54" s="2477"/>
      <c r="I54" s="2478">
        <v>0</v>
      </c>
      <c r="J54" s="2476"/>
      <c r="K54" s="2476"/>
      <c r="L54" s="2477">
        <v>30000000000</v>
      </c>
      <c r="M54" s="2477"/>
      <c r="N54" s="2133">
        <v>2.8000000000000001E-2</v>
      </c>
      <c r="O54" s="2476" t="s">
        <v>110</v>
      </c>
      <c r="P54" s="2476"/>
      <c r="Q54" s="2476"/>
    </row>
    <row r="55" spans="3:17" ht="19.899999999999999" customHeight="1">
      <c r="C55" s="2476" t="s">
        <v>112</v>
      </c>
      <c r="D55" s="2476"/>
      <c r="E55" s="2129" t="s">
        <v>113</v>
      </c>
      <c r="F55" s="2477">
        <v>5000000000</v>
      </c>
      <c r="G55" s="2477"/>
      <c r="H55" s="2477"/>
      <c r="I55" s="2478">
        <v>0</v>
      </c>
      <c r="J55" s="2476"/>
      <c r="K55" s="2476"/>
      <c r="L55" s="2477">
        <v>5000000000</v>
      </c>
      <c r="M55" s="2477"/>
      <c r="N55" s="2133">
        <v>4.2999999999999997E-2</v>
      </c>
      <c r="O55" s="2476" t="s">
        <v>110</v>
      </c>
      <c r="P55" s="2476"/>
      <c r="Q55" s="2476"/>
    </row>
    <row r="56" spans="3:17" ht="19.899999999999999" customHeight="1">
      <c r="C56" s="2476" t="s">
        <v>114</v>
      </c>
      <c r="D56" s="2476"/>
      <c r="E56" s="2129" t="s">
        <v>113</v>
      </c>
      <c r="F56" s="2477">
        <v>5000000000</v>
      </c>
      <c r="G56" s="2477"/>
      <c r="H56" s="2477"/>
      <c r="I56" s="2478">
        <v>0</v>
      </c>
      <c r="J56" s="2476"/>
      <c r="K56" s="2476"/>
      <c r="L56" s="2477">
        <f>F56-I56</f>
        <v>5000000000</v>
      </c>
      <c r="M56" s="2477"/>
      <c r="N56" s="2133">
        <v>4.2999999999999997E-2</v>
      </c>
      <c r="O56" s="2476" t="s">
        <v>110</v>
      </c>
      <c r="P56" s="2476"/>
      <c r="Q56" s="2476"/>
    </row>
    <row r="57" spans="3:17" ht="19.899999999999999" customHeight="1">
      <c r="C57" s="2479" t="s">
        <v>37</v>
      </c>
      <c r="D57" s="2479"/>
      <c r="E57" s="2479"/>
      <c r="F57" s="2464">
        <f>SUM(F52:H56)</f>
        <v>268000000000</v>
      </c>
      <c r="G57" s="2464"/>
      <c r="H57" s="2464"/>
      <c r="I57" s="2464">
        <f>SUM(I52:K56)</f>
        <v>0</v>
      </c>
      <c r="J57" s="2464"/>
      <c r="K57" s="2464"/>
      <c r="L57" s="2464">
        <f>SUM(L52:M56)</f>
        <v>268000000000</v>
      </c>
      <c r="M57" s="2464"/>
      <c r="N57" s="2249"/>
      <c r="O57" s="2480"/>
      <c r="P57" s="2480"/>
      <c r="Q57" s="2480"/>
    </row>
  </sheetData>
  <mergeCells count="155">
    <mergeCell ref="F5:Q5"/>
    <mergeCell ref="F6:Q6"/>
    <mergeCell ref="F11:Q11"/>
    <mergeCell ref="C14:E14"/>
    <mergeCell ref="F14:J14"/>
    <mergeCell ref="K14:N14"/>
    <mergeCell ref="O14:Q14"/>
    <mergeCell ref="F7:Q7"/>
    <mergeCell ref="F8:Q8"/>
    <mergeCell ref="F9:Q9"/>
    <mergeCell ref="F10:Q10"/>
    <mergeCell ref="C17:E17"/>
    <mergeCell ref="F17:J17"/>
    <mergeCell ref="K17:N17"/>
    <mergeCell ref="O17:Q17"/>
    <mergeCell ref="C18:E18"/>
    <mergeCell ref="F18:J18"/>
    <mergeCell ref="K18:N18"/>
    <mergeCell ref="O18:Q18"/>
    <mergeCell ref="C15:E15"/>
    <mergeCell ref="F15:J15"/>
    <mergeCell ref="K15:N15"/>
    <mergeCell ref="O15:Q15"/>
    <mergeCell ref="C16:E16"/>
    <mergeCell ref="F16:J16"/>
    <mergeCell ref="K16:N16"/>
    <mergeCell ref="O16:Q16"/>
    <mergeCell ref="C19:E19"/>
    <mergeCell ref="F19:J19"/>
    <mergeCell ref="K19:N19"/>
    <mergeCell ref="O19:Q19"/>
    <mergeCell ref="C22:E22"/>
    <mergeCell ref="F22:H22"/>
    <mergeCell ref="I22:K22"/>
    <mergeCell ref="L22:M22"/>
    <mergeCell ref="N22:P22"/>
    <mergeCell ref="C25:E26"/>
    <mergeCell ref="F25:H25"/>
    <mergeCell ref="I25:K26"/>
    <mergeCell ref="L25:M26"/>
    <mergeCell ref="N25:P26"/>
    <mergeCell ref="F26:H26"/>
    <mergeCell ref="C23:E24"/>
    <mergeCell ref="F23:H23"/>
    <mergeCell ref="I23:K24"/>
    <mergeCell ref="L23:M24"/>
    <mergeCell ref="N23:P24"/>
    <mergeCell ref="F24:H24"/>
    <mergeCell ref="C29:E30"/>
    <mergeCell ref="F29:H29"/>
    <mergeCell ref="I29:K30"/>
    <mergeCell ref="L29:M30"/>
    <mergeCell ref="N29:P30"/>
    <mergeCell ref="F30:H30"/>
    <mergeCell ref="C27:E28"/>
    <mergeCell ref="F27:H27"/>
    <mergeCell ref="I27:K28"/>
    <mergeCell ref="L27:M28"/>
    <mergeCell ref="N27:P28"/>
    <mergeCell ref="F28:H28"/>
    <mergeCell ref="C33:E34"/>
    <mergeCell ref="F33:H33"/>
    <mergeCell ref="I33:K34"/>
    <mergeCell ref="L33:M34"/>
    <mergeCell ref="N33:P34"/>
    <mergeCell ref="F34:H34"/>
    <mergeCell ref="C31:E32"/>
    <mergeCell ref="F31:H31"/>
    <mergeCell ref="I31:K32"/>
    <mergeCell ref="L31:M32"/>
    <mergeCell ref="N31:P32"/>
    <mergeCell ref="F32:H32"/>
    <mergeCell ref="C37:E38"/>
    <mergeCell ref="F37:H37"/>
    <mergeCell ref="I37:K38"/>
    <mergeCell ref="L37:M38"/>
    <mergeCell ref="N37:P38"/>
    <mergeCell ref="F38:H38"/>
    <mergeCell ref="C35:E36"/>
    <mergeCell ref="F35:H35"/>
    <mergeCell ref="I35:K36"/>
    <mergeCell ref="L35:M36"/>
    <mergeCell ref="N35:P36"/>
    <mergeCell ref="F36:H36"/>
    <mergeCell ref="C41:E42"/>
    <mergeCell ref="F41:H41"/>
    <mergeCell ref="I41:K42"/>
    <mergeCell ref="L41:M42"/>
    <mergeCell ref="N41:P42"/>
    <mergeCell ref="F42:H42"/>
    <mergeCell ref="C39:E40"/>
    <mergeCell ref="F39:H39"/>
    <mergeCell ref="I39:K40"/>
    <mergeCell ref="L39:M40"/>
    <mergeCell ref="N39:P40"/>
    <mergeCell ref="F40:H40"/>
    <mergeCell ref="C43:E43"/>
    <mergeCell ref="F43:H43"/>
    <mergeCell ref="I43:K43"/>
    <mergeCell ref="L43:M43"/>
    <mergeCell ref="N43:P43"/>
    <mergeCell ref="C44:E44"/>
    <mergeCell ref="F44:H44"/>
    <mergeCell ref="I44:K44"/>
    <mergeCell ref="L44:M44"/>
    <mergeCell ref="N44:P44"/>
    <mergeCell ref="C45:E45"/>
    <mergeCell ref="F45:H45"/>
    <mergeCell ref="I45:K45"/>
    <mergeCell ref="L45:M45"/>
    <mergeCell ref="N45:P45"/>
    <mergeCell ref="C46:E46"/>
    <mergeCell ref="F46:H46"/>
    <mergeCell ref="I46:K46"/>
    <mergeCell ref="L46:M46"/>
    <mergeCell ref="N46:P46"/>
    <mergeCell ref="C47:E47"/>
    <mergeCell ref="F47:H47"/>
    <mergeCell ref="I47:K47"/>
    <mergeCell ref="L47:P47"/>
    <mergeCell ref="C51:D51"/>
    <mergeCell ref="F51:H51"/>
    <mergeCell ref="I51:K51"/>
    <mergeCell ref="L51:M51"/>
    <mergeCell ref="O51:Q51"/>
    <mergeCell ref="C52:D52"/>
    <mergeCell ref="F52:H52"/>
    <mergeCell ref="I52:K52"/>
    <mergeCell ref="L52:M52"/>
    <mergeCell ref="O52:Q52"/>
    <mergeCell ref="C53:D53"/>
    <mergeCell ref="F53:H53"/>
    <mergeCell ref="I53:K53"/>
    <mergeCell ref="L53:M53"/>
    <mergeCell ref="O53:Q53"/>
    <mergeCell ref="C54:D54"/>
    <mergeCell ref="F54:H54"/>
    <mergeCell ref="I54:K54"/>
    <mergeCell ref="L54:M54"/>
    <mergeCell ref="O54:Q54"/>
    <mergeCell ref="C55:D55"/>
    <mergeCell ref="F55:H55"/>
    <mergeCell ref="I55:K55"/>
    <mergeCell ref="L55:M55"/>
    <mergeCell ref="O55:Q55"/>
    <mergeCell ref="C56:D56"/>
    <mergeCell ref="F56:H56"/>
    <mergeCell ref="I56:K56"/>
    <mergeCell ref="L56:M56"/>
    <mergeCell ref="O56:Q56"/>
    <mergeCell ref="C57:E57"/>
    <mergeCell ref="F57:H57"/>
    <mergeCell ref="I57:K57"/>
    <mergeCell ref="L57:M57"/>
    <mergeCell ref="O57:Q57"/>
  </mergeCells>
  <phoneticPr fontId="6" type="noConversion"/>
  <pageMargins left="0.7" right="0.7" top="0.75" bottom="0.75" header="0.3" footer="0.3"/>
  <pageSetup paperSize="9" scale="67" orientation="portrait"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79998168889431442"/>
    <pageSetUpPr fitToPage="1"/>
  </sheetPr>
  <dimension ref="A2:AF42"/>
  <sheetViews>
    <sheetView showGridLines="0" view="pageBreakPreview" zoomScale="55" zoomScaleNormal="40" zoomScaleSheetLayoutView="55" workbookViewId="0">
      <selection activeCell="R2" sqref="R2"/>
    </sheetView>
  </sheetViews>
  <sheetFormatPr defaultColWidth="8.75" defaultRowHeight="15"/>
  <cols>
    <col min="1" max="1" width="2.25" style="958" customWidth="1"/>
    <col min="2" max="5" width="8.75" style="958"/>
    <col min="6" max="6" width="21.875" style="958" bestFit="1" customWidth="1"/>
    <col min="7" max="7" width="8.75" style="958"/>
    <col min="8" max="8" width="12.75" style="958" customWidth="1"/>
    <col min="9" max="10" width="9.75" style="958" customWidth="1"/>
    <col min="11" max="11" width="8.75" style="958"/>
    <col min="12" max="12" width="11.75" style="958" bestFit="1" customWidth="1"/>
    <col min="13" max="13" width="10.125" style="958" bestFit="1" customWidth="1"/>
    <col min="14" max="16" width="8.75" style="958"/>
    <col min="17" max="17" width="2.75" style="958" customWidth="1"/>
    <col min="18" max="18" width="10.125" style="958" bestFit="1" customWidth="1"/>
    <col min="19" max="20" width="8.75" style="958"/>
    <col min="21" max="21" width="1.875" style="958" customWidth="1"/>
    <col min="22" max="16384" width="8.75" style="958"/>
  </cols>
  <sheetData>
    <row r="2" spans="1:18" ht="24.6" customHeight="1">
      <c r="A2" s="1002"/>
      <c r="B2" s="2119" t="s">
        <v>611</v>
      </c>
      <c r="C2" s="1002"/>
      <c r="D2" s="1002"/>
      <c r="E2" s="1002"/>
      <c r="F2" s="1002"/>
      <c r="G2" s="1002"/>
      <c r="H2" s="1002"/>
      <c r="I2" s="1002"/>
      <c r="J2" s="1002"/>
      <c r="K2" s="1002"/>
      <c r="L2" s="1002"/>
      <c r="M2" s="1002"/>
      <c r="N2" s="1002"/>
      <c r="O2" s="1002"/>
      <c r="P2" s="1002"/>
      <c r="Q2" s="1003"/>
    </row>
    <row r="3" spans="1:18">
      <c r="A3" s="991"/>
      <c r="B3" s="991"/>
      <c r="C3" s="991"/>
      <c r="D3" s="991"/>
      <c r="E3" s="991"/>
      <c r="F3" s="991"/>
      <c r="G3" s="991"/>
      <c r="H3" s="991"/>
      <c r="I3" s="991"/>
      <c r="J3" s="991"/>
      <c r="K3" s="991"/>
      <c r="L3" s="991"/>
      <c r="M3" s="991"/>
      <c r="N3" s="991"/>
      <c r="O3" s="991"/>
      <c r="P3" s="991"/>
    </row>
    <row r="4" spans="1:18" ht="16.5" customHeight="1">
      <c r="B4" s="976" t="s">
        <v>115</v>
      </c>
      <c r="P4" s="981" t="s">
        <v>1681</v>
      </c>
    </row>
    <row r="5" spans="1:18" ht="19.899999999999999" customHeight="1">
      <c r="B5" s="2466" t="s">
        <v>102</v>
      </c>
      <c r="C5" s="2466"/>
      <c r="D5" s="2466"/>
      <c r="E5" s="2466"/>
      <c r="F5" s="2245" t="s">
        <v>606</v>
      </c>
      <c r="G5" s="2466" t="s">
        <v>592</v>
      </c>
      <c r="H5" s="2466"/>
      <c r="I5" s="2466" t="s">
        <v>116</v>
      </c>
      <c r="J5" s="2466"/>
      <c r="K5" s="2466" t="s">
        <v>1674</v>
      </c>
      <c r="L5" s="2466"/>
      <c r="M5" s="2466" t="s">
        <v>117</v>
      </c>
      <c r="N5" s="2466"/>
      <c r="O5" s="2466"/>
      <c r="P5" s="2466"/>
    </row>
    <row r="6" spans="1:18" ht="19.899999999999999" customHeight="1">
      <c r="B6" s="2476" t="s">
        <v>598</v>
      </c>
      <c r="C6" s="2476"/>
      <c r="D6" s="2476"/>
      <c r="E6" s="2476"/>
      <c r="F6" s="2129" t="s">
        <v>1678</v>
      </c>
      <c r="G6" s="2476" t="s">
        <v>593</v>
      </c>
      <c r="H6" s="2476"/>
      <c r="I6" s="2477">
        <f>I19</f>
        <v>614648363362</v>
      </c>
      <c r="J6" s="2477"/>
      <c r="K6" s="2477">
        <f>K19</f>
        <v>29101753</v>
      </c>
      <c r="L6" s="2477"/>
      <c r="M6" s="2553" t="s">
        <v>596</v>
      </c>
      <c r="N6" s="2553"/>
      <c r="O6" s="2553"/>
      <c r="P6" s="2553"/>
    </row>
    <row r="7" spans="1:18" ht="19.899999999999999" customHeight="1">
      <c r="B7" s="2476" t="s">
        <v>1698</v>
      </c>
      <c r="C7" s="2476"/>
      <c r="D7" s="2476"/>
      <c r="E7" s="2476"/>
      <c r="F7" s="2129" t="s">
        <v>607</v>
      </c>
      <c r="G7" s="2476" t="s">
        <v>594</v>
      </c>
      <c r="H7" s="2476"/>
      <c r="I7" s="2477">
        <f>I27</f>
        <v>300000000</v>
      </c>
      <c r="J7" s="2477"/>
      <c r="K7" s="2477">
        <f>K27</f>
        <v>1978800</v>
      </c>
      <c r="L7" s="2477"/>
      <c r="M7" s="2553" t="s">
        <v>2031</v>
      </c>
      <c r="N7" s="2553"/>
      <c r="O7" s="2553"/>
      <c r="P7" s="2553"/>
    </row>
    <row r="8" spans="1:18" ht="19.899999999999999" customHeight="1">
      <c r="B8" s="2476" t="s">
        <v>1697</v>
      </c>
      <c r="C8" s="2476"/>
      <c r="D8" s="2476"/>
      <c r="E8" s="2476"/>
      <c r="F8" s="2129" t="s">
        <v>1680</v>
      </c>
      <c r="G8" s="2476" t="s">
        <v>1703</v>
      </c>
      <c r="H8" s="2476"/>
      <c r="I8" s="2477">
        <v>300000000</v>
      </c>
      <c r="J8" s="2477"/>
      <c r="K8" s="2477">
        <f>K31</f>
        <v>18275000</v>
      </c>
      <c r="L8" s="2477"/>
      <c r="M8" s="2553" t="s">
        <v>2031</v>
      </c>
      <c r="N8" s="2553"/>
      <c r="O8" s="2553"/>
      <c r="P8" s="2553"/>
    </row>
    <row r="9" spans="1:18" ht="19.899999999999999" customHeight="1">
      <c r="B9" s="2476" t="s">
        <v>2032</v>
      </c>
      <c r="C9" s="2476"/>
      <c r="D9" s="2476"/>
      <c r="E9" s="2476"/>
      <c r="F9" s="2129" t="s">
        <v>1680</v>
      </c>
      <c r="G9" s="2476" t="s">
        <v>595</v>
      </c>
      <c r="H9" s="2476"/>
      <c r="I9" s="2477">
        <v>80000000</v>
      </c>
      <c r="J9" s="2477"/>
      <c r="K9" s="2477">
        <v>2954500</v>
      </c>
      <c r="L9" s="2477"/>
      <c r="M9" s="2553" t="s">
        <v>596</v>
      </c>
      <c r="N9" s="2553"/>
      <c r="O9" s="2553"/>
      <c r="P9" s="2553"/>
      <c r="R9" s="1004"/>
    </row>
    <row r="10" spans="1:18" ht="19.899999999999999" customHeight="1">
      <c r="B10" s="2466" t="s">
        <v>597</v>
      </c>
      <c r="C10" s="2466"/>
      <c r="D10" s="2466"/>
      <c r="E10" s="2466"/>
      <c r="F10" s="2466"/>
      <c r="G10" s="2466"/>
      <c r="H10" s="2466"/>
      <c r="I10" s="2546">
        <f>SUM(I6:J9)</f>
        <v>615328363362</v>
      </c>
      <c r="J10" s="2546"/>
      <c r="K10" s="2546">
        <f>SUM(K6:L9)</f>
        <v>52310053</v>
      </c>
      <c r="L10" s="2546"/>
      <c r="M10" s="2547"/>
      <c r="N10" s="2547"/>
      <c r="O10" s="2547"/>
      <c r="P10" s="2547"/>
    </row>
    <row r="11" spans="1:18" ht="19.899999999999999" customHeight="1"/>
    <row r="12" spans="1:18" ht="19.899999999999999" customHeight="1">
      <c r="B12" s="974" t="s">
        <v>2079</v>
      </c>
      <c r="C12" s="974"/>
      <c r="D12" s="974"/>
      <c r="E12" s="974"/>
      <c r="F12" s="974"/>
      <c r="G12" s="974"/>
      <c r="H12" s="974"/>
      <c r="I12" s="974"/>
      <c r="J12" s="974"/>
      <c r="K12" s="974"/>
      <c r="L12" s="974"/>
      <c r="M12" s="974"/>
      <c r="N12" s="974"/>
      <c r="O12" s="974"/>
      <c r="P12" s="974" t="s">
        <v>590</v>
      </c>
    </row>
    <row r="13" spans="1:18" ht="19.899999999999999" customHeight="1">
      <c r="B13" s="2542" t="s">
        <v>575</v>
      </c>
      <c r="C13" s="2542"/>
      <c r="D13" s="2542"/>
      <c r="E13" s="2542"/>
      <c r="F13" s="2542"/>
      <c r="G13" s="2246" t="s">
        <v>1673</v>
      </c>
      <c r="H13" s="2246"/>
      <c r="I13" s="2542" t="s">
        <v>591</v>
      </c>
      <c r="J13" s="2542"/>
      <c r="K13" s="2542" t="s">
        <v>490</v>
      </c>
      <c r="L13" s="2542"/>
      <c r="M13" s="2542" t="s">
        <v>1672</v>
      </c>
      <c r="N13" s="2542"/>
      <c r="O13" s="2542"/>
      <c r="P13" s="2542"/>
    </row>
    <row r="14" spans="1:18" ht="19.899999999999999" customHeight="1">
      <c r="B14" s="2543">
        <v>1</v>
      </c>
      <c r="C14" s="2543"/>
      <c r="D14" s="2543" t="s">
        <v>485</v>
      </c>
      <c r="E14" s="2543"/>
      <c r="F14" s="2543"/>
      <c r="G14" s="2128" t="str">
        <f>$G$6</f>
        <v>2023.11.09 ~ 2024.11.08</v>
      </c>
      <c r="H14" s="2128"/>
      <c r="I14" s="2544">
        <v>238957092000</v>
      </c>
      <c r="J14" s="2544"/>
      <c r="K14" s="2548">
        <v>16868328</v>
      </c>
      <c r="L14" s="2548"/>
      <c r="M14" s="2548" t="s">
        <v>1679</v>
      </c>
      <c r="N14" s="2548"/>
      <c r="O14" s="2548"/>
      <c r="P14" s="2548"/>
    </row>
    <row r="15" spans="1:18" ht="19.899999999999999" customHeight="1">
      <c r="B15" s="2543">
        <v>2</v>
      </c>
      <c r="C15" s="2543"/>
      <c r="D15" s="2543" t="s">
        <v>486</v>
      </c>
      <c r="E15" s="2543"/>
      <c r="F15" s="2543"/>
      <c r="G15" s="2128" t="str">
        <f t="shared" ref="G15:G18" si="0">$G$6</f>
        <v>2023.11.09 ~ 2024.11.08</v>
      </c>
      <c r="H15" s="2128"/>
      <c r="I15" s="2544">
        <v>238957092000</v>
      </c>
      <c r="J15" s="2544"/>
      <c r="K15" s="2548"/>
      <c r="L15" s="2548"/>
      <c r="M15" s="2548"/>
      <c r="N15" s="2548"/>
      <c r="O15" s="2548"/>
      <c r="P15" s="2548"/>
    </row>
    <row r="16" spans="1:18" ht="19.899999999999999" customHeight="1">
      <c r="B16" s="2554" t="s">
        <v>599</v>
      </c>
      <c r="C16" s="2543"/>
      <c r="D16" s="2543" t="s">
        <v>488</v>
      </c>
      <c r="E16" s="2543"/>
      <c r="F16" s="2543"/>
      <c r="G16" s="2128" t="str">
        <f t="shared" si="0"/>
        <v>2023.11.09 ~ 2024.11.08</v>
      </c>
      <c r="H16" s="2128"/>
      <c r="I16" s="2544">
        <v>63367089681</v>
      </c>
      <c r="J16" s="2544"/>
      <c r="K16" s="2548">
        <v>3802025</v>
      </c>
      <c r="L16" s="2548"/>
      <c r="M16" s="2548"/>
      <c r="N16" s="2548"/>
      <c r="O16" s="2548"/>
      <c r="P16" s="2548"/>
    </row>
    <row r="17" spans="2:32" ht="19.899999999999999" customHeight="1">
      <c r="B17" s="2549" t="s">
        <v>600</v>
      </c>
      <c r="C17" s="2543"/>
      <c r="D17" s="2543" t="s">
        <v>487</v>
      </c>
      <c r="E17" s="2543"/>
      <c r="F17" s="2543"/>
      <c r="G17" s="2128" t="str">
        <f t="shared" si="0"/>
        <v>2023.11.09 ~ 2024.11.08</v>
      </c>
      <c r="H17" s="2128"/>
      <c r="I17" s="2544">
        <v>63367089681</v>
      </c>
      <c r="J17" s="2544"/>
      <c r="K17" s="2548"/>
      <c r="L17" s="2548"/>
      <c r="M17" s="2548"/>
      <c r="N17" s="2548"/>
      <c r="O17" s="2548"/>
      <c r="P17" s="2548"/>
    </row>
    <row r="18" spans="2:32" ht="19.899999999999999" customHeight="1">
      <c r="B18" s="2549" t="s">
        <v>601</v>
      </c>
      <c r="C18" s="2543"/>
      <c r="D18" s="2543" t="s">
        <v>489</v>
      </c>
      <c r="E18" s="2543"/>
      <c r="F18" s="2543"/>
      <c r="G18" s="2128" t="str">
        <f t="shared" si="0"/>
        <v>2023.11.09 ~ 2024.11.08</v>
      </c>
      <c r="H18" s="2128"/>
      <c r="I18" s="2544">
        <v>10000000000</v>
      </c>
      <c r="J18" s="2544"/>
      <c r="K18" s="2548">
        <v>8431400</v>
      </c>
      <c r="L18" s="2548"/>
      <c r="M18" s="2548"/>
      <c r="N18" s="2548"/>
      <c r="O18" s="2548"/>
      <c r="P18" s="2548"/>
    </row>
    <row r="19" spans="2:32" ht="19.899999999999999" customHeight="1">
      <c r="B19" s="2246" t="s">
        <v>597</v>
      </c>
      <c r="C19" s="2246"/>
      <c r="D19" s="2246"/>
      <c r="E19" s="2246"/>
      <c r="F19" s="2246"/>
      <c r="G19" s="2246"/>
      <c r="H19" s="2246"/>
      <c r="I19" s="2541">
        <f>SUM(I14:J18)</f>
        <v>614648363362</v>
      </c>
      <c r="J19" s="2541"/>
      <c r="K19" s="2541">
        <f>SUM(K14:L18)</f>
        <v>29101753</v>
      </c>
      <c r="L19" s="2541"/>
      <c r="M19" s="2538"/>
      <c r="N19" s="2539"/>
      <c r="O19" s="2539"/>
      <c r="P19" s="2540"/>
    </row>
    <row r="20" spans="2:32" ht="19.899999999999999" customHeight="1"/>
    <row r="21" spans="2:32" ht="19.899999999999999" customHeight="1">
      <c r="B21" s="1005" t="s">
        <v>1699</v>
      </c>
      <c r="P21" s="974" t="s">
        <v>590</v>
      </c>
    </row>
    <row r="22" spans="2:32" ht="19.899999999999999" customHeight="1">
      <c r="B22" s="2542" t="s">
        <v>575</v>
      </c>
      <c r="C22" s="2542"/>
      <c r="D22" s="2542"/>
      <c r="E22" s="2542"/>
      <c r="F22" s="2542"/>
      <c r="G22" s="2246" t="s">
        <v>1673</v>
      </c>
      <c r="H22" s="2246"/>
      <c r="I22" s="2542" t="s">
        <v>591</v>
      </c>
      <c r="J22" s="2542"/>
      <c r="K22" s="2542" t="s">
        <v>490</v>
      </c>
      <c r="L22" s="2542"/>
      <c r="M22" s="2542" t="s">
        <v>1672</v>
      </c>
      <c r="N22" s="2542"/>
      <c r="O22" s="2542"/>
      <c r="P22" s="2542"/>
    </row>
    <row r="23" spans="2:32" ht="19.899999999999999" customHeight="1">
      <c r="B23" s="2543">
        <v>1</v>
      </c>
      <c r="C23" s="2543"/>
      <c r="D23" s="2543" t="s">
        <v>602</v>
      </c>
      <c r="E23" s="2543"/>
      <c r="F23" s="2543"/>
      <c r="G23" s="2128" t="str">
        <f>$G$7</f>
        <v>2024.01.01 ~ 2025.01.01</v>
      </c>
      <c r="H23" s="2128"/>
      <c r="I23" s="2544">
        <v>100000000</v>
      </c>
      <c r="J23" s="2544"/>
      <c r="K23" s="2544">
        <v>1978800</v>
      </c>
      <c r="L23" s="2544"/>
      <c r="M23" s="2545" t="s">
        <v>1702</v>
      </c>
      <c r="N23" s="2548"/>
      <c r="O23" s="2548"/>
      <c r="P23" s="2548"/>
    </row>
    <row r="24" spans="2:32" ht="19.899999999999999" customHeight="1">
      <c r="B24" s="2543">
        <v>2</v>
      </c>
      <c r="C24" s="2543"/>
      <c r="D24" s="2543" t="s">
        <v>603</v>
      </c>
      <c r="E24" s="2543"/>
      <c r="F24" s="2543"/>
      <c r="G24" s="2128" t="str">
        <f t="shared" ref="G24:G26" si="1">$G$7</f>
        <v>2024.01.01 ~ 2025.01.01</v>
      </c>
      <c r="H24" s="2128"/>
      <c r="I24" s="2544">
        <v>100000000</v>
      </c>
      <c r="J24" s="2544"/>
      <c r="K24" s="2544"/>
      <c r="L24" s="2544"/>
      <c r="M24" s="2548"/>
      <c r="N24" s="2548"/>
      <c r="O24" s="2548"/>
      <c r="P24" s="2548"/>
    </row>
    <row r="25" spans="2:32" ht="19.899999999999999" customHeight="1">
      <c r="B25" s="2543">
        <v>3</v>
      </c>
      <c r="C25" s="2543"/>
      <c r="D25" s="2543" t="s">
        <v>604</v>
      </c>
      <c r="E25" s="2543"/>
      <c r="F25" s="2543"/>
      <c r="G25" s="2128" t="str">
        <f t="shared" si="1"/>
        <v>2024.01.01 ~ 2025.01.01</v>
      </c>
      <c r="H25" s="2128"/>
      <c r="I25" s="2544">
        <v>50000000</v>
      </c>
      <c r="J25" s="2544"/>
      <c r="K25" s="2544"/>
      <c r="L25" s="2544"/>
      <c r="M25" s="2548"/>
      <c r="N25" s="2548"/>
      <c r="O25" s="2548"/>
      <c r="P25" s="2548"/>
    </row>
    <row r="26" spans="2:32" ht="19.899999999999999" customHeight="1">
      <c r="B26" s="2543">
        <v>4</v>
      </c>
      <c r="C26" s="2543"/>
      <c r="D26" s="2543" t="s">
        <v>605</v>
      </c>
      <c r="E26" s="2543"/>
      <c r="F26" s="2543"/>
      <c r="G26" s="2128" t="str">
        <f t="shared" si="1"/>
        <v>2024.01.01 ~ 2025.01.01</v>
      </c>
      <c r="H26" s="2128"/>
      <c r="I26" s="2544">
        <v>50000000</v>
      </c>
      <c r="J26" s="2544"/>
      <c r="K26" s="2544"/>
      <c r="L26" s="2544"/>
      <c r="M26" s="2548"/>
      <c r="N26" s="2548"/>
      <c r="O26" s="2548"/>
      <c r="P26" s="2548"/>
      <c r="R26" s="2550"/>
      <c r="S26" s="2550"/>
      <c r="T26" s="2550"/>
      <c r="U26" s="2550"/>
      <c r="V26" s="985"/>
      <c r="W26" s="2550"/>
      <c r="X26" s="2550"/>
      <c r="Y26" s="2551"/>
      <c r="Z26" s="2551"/>
      <c r="AA26" s="2551"/>
      <c r="AB26" s="2551"/>
      <c r="AC26" s="2552"/>
      <c r="AD26" s="2552"/>
      <c r="AE26" s="2552"/>
      <c r="AF26" s="2552"/>
    </row>
    <row r="27" spans="2:32" ht="19.899999999999999" customHeight="1">
      <c r="B27" s="2246" t="s">
        <v>597</v>
      </c>
      <c r="C27" s="2246"/>
      <c r="D27" s="2246"/>
      <c r="E27" s="2246"/>
      <c r="F27" s="2246"/>
      <c r="G27" s="2246"/>
      <c r="H27" s="2246"/>
      <c r="I27" s="2541">
        <f>SUM(I23:J26)</f>
        <v>300000000</v>
      </c>
      <c r="J27" s="2541"/>
      <c r="K27" s="2541">
        <f>K23</f>
        <v>1978800</v>
      </c>
      <c r="L27" s="2541"/>
      <c r="M27" s="2538"/>
      <c r="N27" s="2539"/>
      <c r="O27" s="2539"/>
      <c r="P27" s="2540"/>
    </row>
    <row r="28" spans="2:32" ht="19.899999999999999" customHeight="1"/>
    <row r="29" spans="2:32" ht="19.899999999999999" customHeight="1">
      <c r="B29" s="1005" t="s">
        <v>2033</v>
      </c>
      <c r="P29" s="974" t="s">
        <v>590</v>
      </c>
    </row>
    <row r="30" spans="2:32" ht="19.899999999999999" customHeight="1">
      <c r="B30" s="2542" t="s">
        <v>575</v>
      </c>
      <c r="C30" s="2542"/>
      <c r="D30" s="2542"/>
      <c r="E30" s="2542"/>
      <c r="F30" s="2542"/>
      <c r="G30" s="2246" t="s">
        <v>1673</v>
      </c>
      <c r="H30" s="2246"/>
      <c r="I30" s="2542" t="s">
        <v>591</v>
      </c>
      <c r="J30" s="2542"/>
      <c r="K30" s="2542" t="s">
        <v>490</v>
      </c>
      <c r="L30" s="2542"/>
      <c r="M30" s="2542" t="s">
        <v>1672</v>
      </c>
      <c r="N30" s="2542"/>
      <c r="O30" s="2542"/>
      <c r="P30" s="2542"/>
    </row>
    <row r="31" spans="2:32" ht="19.899999999999999" customHeight="1">
      <c r="B31" s="2543">
        <v>1</v>
      </c>
      <c r="C31" s="2543"/>
      <c r="D31" s="2543" t="s">
        <v>2034</v>
      </c>
      <c r="E31" s="2543"/>
      <c r="F31" s="2543"/>
      <c r="G31" s="2128" t="str">
        <f>$G$8</f>
        <v>2023.08.11 ~ 2024.08.10</v>
      </c>
      <c r="H31" s="2128"/>
      <c r="I31" s="2544">
        <v>300000000</v>
      </c>
      <c r="J31" s="2544"/>
      <c r="K31" s="2544">
        <v>18275000</v>
      </c>
      <c r="L31" s="2544"/>
      <c r="M31" s="2545" t="s">
        <v>2035</v>
      </c>
      <c r="N31" s="2545"/>
      <c r="O31" s="2545"/>
      <c r="P31" s="2545"/>
    </row>
    <row r="32" spans="2:32" ht="19.899999999999999" customHeight="1">
      <c r="B32" s="2543">
        <v>2</v>
      </c>
      <c r="C32" s="2543"/>
      <c r="D32" s="2543" t="s">
        <v>2036</v>
      </c>
      <c r="E32" s="2543"/>
      <c r="F32" s="2543"/>
      <c r="G32" s="2128" t="str">
        <f t="shared" ref="G32:G35" si="2">$G$8</f>
        <v>2023.08.11 ~ 2024.08.10</v>
      </c>
      <c r="H32" s="2128"/>
      <c r="I32" s="2544">
        <v>300000000</v>
      </c>
      <c r="J32" s="2544"/>
      <c r="K32" s="2544"/>
      <c r="L32" s="2544"/>
      <c r="M32" s="2545"/>
      <c r="N32" s="2545"/>
      <c r="O32" s="2545"/>
      <c r="P32" s="2545"/>
    </row>
    <row r="33" spans="2:16" ht="19.899999999999999" customHeight="1">
      <c r="B33" s="2543">
        <v>3</v>
      </c>
      <c r="C33" s="2543"/>
      <c r="D33" s="2543" t="s">
        <v>2037</v>
      </c>
      <c r="E33" s="2543"/>
      <c r="F33" s="2543"/>
      <c r="G33" s="2128" t="str">
        <f t="shared" si="2"/>
        <v>2023.08.11 ~ 2024.08.10</v>
      </c>
      <c r="H33" s="2128"/>
      <c r="I33" s="2544">
        <v>1000000</v>
      </c>
      <c r="J33" s="2544"/>
      <c r="K33" s="2544"/>
      <c r="L33" s="2544"/>
      <c r="M33" s="2545"/>
      <c r="N33" s="2545"/>
      <c r="O33" s="2545"/>
      <c r="P33" s="2545"/>
    </row>
    <row r="34" spans="2:16" ht="19.899999999999999" customHeight="1">
      <c r="B34" s="2543">
        <v>4</v>
      </c>
      <c r="C34" s="2543"/>
      <c r="D34" s="2543" t="s">
        <v>2038</v>
      </c>
      <c r="E34" s="2543"/>
      <c r="F34" s="2543"/>
      <c r="G34" s="2128" t="str">
        <f t="shared" si="2"/>
        <v>2023.08.11 ~ 2024.08.10</v>
      </c>
      <c r="H34" s="2128"/>
      <c r="I34" s="2544">
        <v>50000000</v>
      </c>
      <c r="J34" s="2544"/>
      <c r="K34" s="2544"/>
      <c r="L34" s="2544"/>
      <c r="M34" s="2545"/>
      <c r="N34" s="2545"/>
      <c r="O34" s="2545"/>
      <c r="P34" s="2545"/>
    </row>
    <row r="35" spans="2:16" ht="19.899999999999999" customHeight="1">
      <c r="B35" s="2543">
        <v>5</v>
      </c>
      <c r="C35" s="2543"/>
      <c r="D35" s="2543" t="s">
        <v>2039</v>
      </c>
      <c r="E35" s="2543"/>
      <c r="F35" s="2543"/>
      <c r="G35" s="2128" t="str">
        <f t="shared" si="2"/>
        <v>2023.08.11 ~ 2024.08.10</v>
      </c>
      <c r="H35" s="2128"/>
      <c r="I35" s="2544">
        <v>50000000</v>
      </c>
      <c r="J35" s="2544"/>
      <c r="K35" s="2544"/>
      <c r="L35" s="2544"/>
      <c r="M35" s="2545"/>
      <c r="N35" s="2545"/>
      <c r="O35" s="2545"/>
      <c r="P35" s="2545"/>
    </row>
    <row r="36" spans="2:16" ht="19.899999999999999" customHeight="1">
      <c r="B36" s="2246" t="s">
        <v>597</v>
      </c>
      <c r="C36" s="2246"/>
      <c r="D36" s="2246"/>
      <c r="E36" s="2246"/>
      <c r="F36" s="2246"/>
      <c r="G36" s="2246"/>
      <c r="H36" s="2246"/>
      <c r="I36" s="2541">
        <f>SUM(I31:J35)</f>
        <v>701000000</v>
      </c>
      <c r="J36" s="2541"/>
      <c r="K36" s="2541">
        <f>K31</f>
        <v>18275000</v>
      </c>
      <c r="L36" s="2541"/>
      <c r="M36" s="2538"/>
      <c r="N36" s="2539"/>
      <c r="O36" s="2539"/>
      <c r="P36" s="2540"/>
    </row>
    <row r="37" spans="2:16" ht="19.899999999999999" customHeight="1"/>
    <row r="38" spans="2:16" ht="19.899999999999999" customHeight="1">
      <c r="B38" s="1005" t="s">
        <v>2040</v>
      </c>
      <c r="P38" s="974" t="s">
        <v>590</v>
      </c>
    </row>
    <row r="39" spans="2:16" ht="19.899999999999999" customHeight="1">
      <c r="B39" s="2542" t="s">
        <v>575</v>
      </c>
      <c r="C39" s="2542"/>
      <c r="D39" s="2542"/>
      <c r="E39" s="2542"/>
      <c r="F39" s="2542"/>
      <c r="G39" s="2246" t="s">
        <v>1673</v>
      </c>
      <c r="H39" s="2246"/>
      <c r="I39" s="2542" t="s">
        <v>591</v>
      </c>
      <c r="J39" s="2542"/>
      <c r="K39" s="2542" t="s">
        <v>490</v>
      </c>
      <c r="L39" s="2542"/>
      <c r="M39" s="2542" t="s">
        <v>1672</v>
      </c>
      <c r="N39" s="2542"/>
      <c r="O39" s="2542"/>
      <c r="P39" s="2542"/>
    </row>
    <row r="40" spans="2:16" ht="19.899999999999999" customHeight="1">
      <c r="B40" s="2543">
        <v>1</v>
      </c>
      <c r="C40" s="2543"/>
      <c r="D40" s="2543" t="s">
        <v>2041</v>
      </c>
      <c r="E40" s="2543"/>
      <c r="F40" s="2543"/>
      <c r="G40" s="2128" t="str">
        <f>$G$9</f>
        <v>2023.09.27 ~ 2024.09.27</v>
      </c>
      <c r="H40" s="2128"/>
      <c r="I40" s="2544">
        <v>80000000</v>
      </c>
      <c r="J40" s="2544"/>
      <c r="K40" s="2544">
        <v>2954500</v>
      </c>
      <c r="L40" s="2544"/>
      <c r="M40" s="2545" t="s">
        <v>2042</v>
      </c>
      <c r="N40" s="2545"/>
      <c r="O40" s="2545"/>
      <c r="P40" s="2545"/>
    </row>
    <row r="41" spans="2:16" ht="19.899999999999999" customHeight="1">
      <c r="B41" s="2543">
        <v>2</v>
      </c>
      <c r="C41" s="2543"/>
      <c r="D41" s="2543" t="s">
        <v>2043</v>
      </c>
      <c r="E41" s="2543"/>
      <c r="F41" s="2543"/>
      <c r="G41" s="2128" t="str">
        <f>$G$9</f>
        <v>2023.09.27 ~ 2024.09.27</v>
      </c>
      <c r="H41" s="2128"/>
      <c r="I41" s="2544">
        <v>10000000</v>
      </c>
      <c r="J41" s="2544"/>
      <c r="K41" s="2544"/>
      <c r="L41" s="2544"/>
      <c r="M41" s="2545"/>
      <c r="N41" s="2545"/>
      <c r="O41" s="2545"/>
      <c r="P41" s="2545"/>
    </row>
    <row r="42" spans="2:16" ht="19.899999999999999" customHeight="1">
      <c r="B42" s="2246" t="s">
        <v>597</v>
      </c>
      <c r="C42" s="2246"/>
      <c r="D42" s="2246"/>
      <c r="E42" s="2246"/>
      <c r="F42" s="2246"/>
      <c r="G42" s="2246"/>
      <c r="H42" s="2246"/>
      <c r="I42" s="2541">
        <f>SUM(I40:J41)</f>
        <v>90000000</v>
      </c>
      <c r="J42" s="2541"/>
      <c r="K42" s="2541">
        <f>K40</f>
        <v>2954500</v>
      </c>
      <c r="L42" s="2541"/>
      <c r="M42" s="2538"/>
      <c r="N42" s="2539"/>
      <c r="O42" s="2539"/>
      <c r="P42" s="2540"/>
    </row>
  </sheetData>
  <mergeCells count="120">
    <mergeCell ref="I26:J26"/>
    <mergeCell ref="I22:J22"/>
    <mergeCell ref="I23:J23"/>
    <mergeCell ref="I24:J24"/>
    <mergeCell ref="I25:J25"/>
    <mergeCell ref="M7:P7"/>
    <mergeCell ref="G7:H7"/>
    <mergeCell ref="B9:E9"/>
    <mergeCell ref="I9:J9"/>
    <mergeCell ref="K9:L9"/>
    <mergeCell ref="M9:P9"/>
    <mergeCell ref="G9:H9"/>
    <mergeCell ref="D15:F15"/>
    <mergeCell ref="D14:F14"/>
    <mergeCell ref="B17:C17"/>
    <mergeCell ref="B16:C16"/>
    <mergeCell ref="B15:C15"/>
    <mergeCell ref="B14:C14"/>
    <mergeCell ref="B7:E7"/>
    <mergeCell ref="I7:J7"/>
    <mergeCell ref="K7:L7"/>
    <mergeCell ref="I14:J14"/>
    <mergeCell ref="I15:J15"/>
    <mergeCell ref="I13:J13"/>
    <mergeCell ref="B5:E5"/>
    <mergeCell ref="I5:J5"/>
    <mergeCell ref="K5:L5"/>
    <mergeCell ref="M5:P5"/>
    <mergeCell ref="G5:H5"/>
    <mergeCell ref="B6:E6"/>
    <mergeCell ref="I6:J6"/>
    <mergeCell ref="K6:L6"/>
    <mergeCell ref="M6:P6"/>
    <mergeCell ref="G6:H6"/>
    <mergeCell ref="R26:U26"/>
    <mergeCell ref="W26:X26"/>
    <mergeCell ref="Y26:Z26"/>
    <mergeCell ref="AA26:AB26"/>
    <mergeCell ref="AC26:AF26"/>
    <mergeCell ref="B8:E8"/>
    <mergeCell ref="G8:H8"/>
    <mergeCell ref="I8:J8"/>
    <mergeCell ref="K8:L8"/>
    <mergeCell ref="M8:P8"/>
    <mergeCell ref="I16:J16"/>
    <mergeCell ref="I17:J17"/>
    <mergeCell ref="I18:J18"/>
    <mergeCell ref="M14:P18"/>
    <mergeCell ref="K16:L17"/>
    <mergeCell ref="I19:J19"/>
    <mergeCell ref="K19:L19"/>
    <mergeCell ref="K22:L22"/>
    <mergeCell ref="M22:P22"/>
    <mergeCell ref="K23:L26"/>
    <mergeCell ref="M23:P26"/>
    <mergeCell ref="B23:C23"/>
    <mergeCell ref="D23:F23"/>
    <mergeCell ref="K18:L18"/>
    <mergeCell ref="I27:J27"/>
    <mergeCell ref="K27:L27"/>
    <mergeCell ref="B30:F30"/>
    <mergeCell ref="I30:J30"/>
    <mergeCell ref="K30:L30"/>
    <mergeCell ref="B10:H10"/>
    <mergeCell ref="I10:J10"/>
    <mergeCell ref="K10:L10"/>
    <mergeCell ref="M10:P10"/>
    <mergeCell ref="B13:F13"/>
    <mergeCell ref="K13:L13"/>
    <mergeCell ref="M13:P13"/>
    <mergeCell ref="K14:L15"/>
    <mergeCell ref="B18:C18"/>
    <mergeCell ref="D18:F18"/>
    <mergeCell ref="B22:F22"/>
    <mergeCell ref="B24:C24"/>
    <mergeCell ref="D24:F24"/>
    <mergeCell ref="B25:C25"/>
    <mergeCell ref="D25:F25"/>
    <mergeCell ref="B26:C26"/>
    <mergeCell ref="D26:F26"/>
    <mergeCell ref="D17:F17"/>
    <mergeCell ref="D16:F16"/>
    <mergeCell ref="D31:F31"/>
    <mergeCell ref="I31:J31"/>
    <mergeCell ref="K31:L35"/>
    <mergeCell ref="M31:P35"/>
    <mergeCell ref="B32:C32"/>
    <mergeCell ref="D32:F32"/>
    <mergeCell ref="I32:J32"/>
    <mergeCell ref="B33:C33"/>
    <mergeCell ref="D33:F33"/>
    <mergeCell ref="I33:J33"/>
    <mergeCell ref="B34:C34"/>
    <mergeCell ref="D34:F34"/>
    <mergeCell ref="I34:J34"/>
    <mergeCell ref="B35:C35"/>
    <mergeCell ref="M19:P19"/>
    <mergeCell ref="M42:P42"/>
    <mergeCell ref="M36:P36"/>
    <mergeCell ref="M27:P27"/>
    <mergeCell ref="I42:J42"/>
    <mergeCell ref="K42:L42"/>
    <mergeCell ref="M39:P39"/>
    <mergeCell ref="B40:C40"/>
    <mergeCell ref="D40:F40"/>
    <mergeCell ref="I40:J40"/>
    <mergeCell ref="K40:L41"/>
    <mergeCell ref="M40:P41"/>
    <mergeCell ref="B41:C41"/>
    <mergeCell ref="D41:F41"/>
    <mergeCell ref="I41:J41"/>
    <mergeCell ref="D35:F35"/>
    <mergeCell ref="I35:J35"/>
    <mergeCell ref="I36:J36"/>
    <mergeCell ref="K36:L36"/>
    <mergeCell ref="B39:F39"/>
    <mergeCell ref="I39:J39"/>
    <mergeCell ref="K39:L39"/>
    <mergeCell ref="M30:P30"/>
    <mergeCell ref="B31:C31"/>
  </mergeCells>
  <phoneticPr fontId="6" type="noConversion"/>
  <pageMargins left="0.7" right="0.7" top="0.75" bottom="0.75" header="0.3" footer="0.3"/>
  <pageSetup paperSize="9" scale="57"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27"/>
  <sheetViews>
    <sheetView showGridLines="0" view="pageBreakPreview" zoomScaleNormal="55" zoomScaleSheetLayoutView="100" workbookViewId="0">
      <selection activeCell="F26" sqref="F26"/>
    </sheetView>
  </sheetViews>
  <sheetFormatPr defaultColWidth="9" defaultRowHeight="16.5"/>
  <cols>
    <col min="1" max="1" width="1.75" style="14" customWidth="1"/>
    <col min="2" max="2" width="14.5" style="14" customWidth="1"/>
    <col min="3" max="3" width="24.625" style="14" bestFit="1" customWidth="1"/>
    <col min="4" max="4" width="9.625" style="14" customWidth="1"/>
    <col min="5" max="5" width="15.75" style="14" customWidth="1"/>
    <col min="6" max="6" width="15.75" style="14" bestFit="1" customWidth="1"/>
    <col min="7" max="7" width="14.625" style="14" bestFit="1" customWidth="1"/>
    <col min="8" max="8" width="10.125" style="14" customWidth="1"/>
    <col min="9" max="9" width="10.625" style="14" customWidth="1"/>
    <col min="10" max="10" width="11.625" style="14" customWidth="1"/>
    <col min="11" max="11" width="37.75" style="14" customWidth="1"/>
    <col min="12" max="12" width="2.25" style="14" customWidth="1"/>
    <col min="13" max="16384" width="9" style="14"/>
  </cols>
  <sheetData>
    <row r="2" spans="2:11">
      <c r="B2" s="2573" t="s">
        <v>171</v>
      </c>
      <c r="C2" s="2573"/>
      <c r="D2" s="2573"/>
      <c r="E2" s="12"/>
      <c r="F2" s="12"/>
      <c r="G2" s="12"/>
      <c r="H2" s="12"/>
      <c r="I2" s="12"/>
      <c r="J2" s="12"/>
      <c r="K2" s="13"/>
    </row>
    <row r="3" spans="2:11">
      <c r="B3" s="15"/>
      <c r="C3" s="15"/>
      <c r="D3" s="15"/>
      <c r="E3" s="12"/>
      <c r="F3" s="12"/>
      <c r="G3" s="12"/>
      <c r="H3" s="12"/>
      <c r="I3" s="12"/>
      <c r="J3" s="12"/>
      <c r="K3" s="13"/>
    </row>
    <row r="4" spans="2:11">
      <c r="B4" s="2563" t="s">
        <v>172</v>
      </c>
      <c r="C4" s="2563"/>
      <c r="D4" s="2563"/>
      <c r="E4" s="12"/>
      <c r="F4" s="12"/>
      <c r="G4" s="12"/>
      <c r="H4" s="12"/>
      <c r="I4" s="12"/>
      <c r="J4" s="12"/>
      <c r="K4" s="13" t="s">
        <v>173</v>
      </c>
    </row>
    <row r="5" spans="2:11">
      <c r="B5" s="2574" t="s">
        <v>174</v>
      </c>
      <c r="C5" s="2575"/>
      <c r="D5" s="2569"/>
      <c r="E5" s="2576" t="s">
        <v>168</v>
      </c>
      <c r="F5" s="2576" t="s">
        <v>150</v>
      </c>
      <c r="G5" s="2576" t="s">
        <v>151</v>
      </c>
      <c r="H5" s="2580" t="s">
        <v>175</v>
      </c>
      <c r="I5" s="2581"/>
      <c r="J5" s="2582" t="s">
        <v>176</v>
      </c>
      <c r="K5" s="2583"/>
    </row>
    <row r="6" spans="2:11">
      <c r="B6" s="115" t="s">
        <v>121</v>
      </c>
      <c r="C6" s="16" t="s">
        <v>177</v>
      </c>
      <c r="D6" s="17" t="s">
        <v>164</v>
      </c>
      <c r="E6" s="2577"/>
      <c r="F6" s="2577"/>
      <c r="G6" s="2577"/>
      <c r="H6" s="116" t="s">
        <v>178</v>
      </c>
      <c r="I6" s="116" t="s">
        <v>179</v>
      </c>
      <c r="J6" s="2584"/>
      <c r="K6" s="2585"/>
    </row>
    <row r="7" spans="2:11" ht="17.45" customHeight="1">
      <c r="B7" s="117" t="s">
        <v>507</v>
      </c>
      <c r="C7" s="199" t="s">
        <v>470</v>
      </c>
      <c r="D7" s="200">
        <v>99.55</v>
      </c>
      <c r="E7" s="201" t="s">
        <v>466</v>
      </c>
      <c r="F7" s="202"/>
      <c r="G7" s="201"/>
      <c r="H7" s="202"/>
      <c r="I7" s="203"/>
      <c r="J7" s="2578" t="s">
        <v>514</v>
      </c>
      <c r="K7" s="2579"/>
    </row>
    <row r="8" spans="2:11" ht="17.25" customHeight="1">
      <c r="B8" s="110" t="s">
        <v>503</v>
      </c>
      <c r="C8" s="22" t="s">
        <v>470</v>
      </c>
      <c r="D8" s="198">
        <v>83.33</v>
      </c>
      <c r="E8" s="18" t="s">
        <v>466</v>
      </c>
      <c r="F8" s="19"/>
      <c r="G8" s="18"/>
      <c r="H8" s="19"/>
      <c r="I8" s="20"/>
      <c r="J8" s="2578" t="s">
        <v>493</v>
      </c>
      <c r="K8" s="2579"/>
    </row>
    <row r="9" spans="2:11" ht="17.45" hidden="1" customHeight="1">
      <c r="B9" s="110"/>
      <c r="C9" s="111"/>
      <c r="D9" s="111"/>
      <c r="E9" s="112"/>
      <c r="F9" s="113"/>
      <c r="G9" s="112"/>
      <c r="H9" s="113"/>
      <c r="I9" s="114"/>
      <c r="J9" s="2578"/>
      <c r="K9" s="2579"/>
    </row>
    <row r="10" spans="2:11" ht="16.5" hidden="1" customHeight="1">
      <c r="B10" s="110"/>
      <c r="C10" s="111"/>
      <c r="D10" s="111"/>
      <c r="E10" s="112"/>
      <c r="F10" s="113"/>
      <c r="G10" s="112"/>
      <c r="H10" s="113"/>
      <c r="I10" s="114"/>
      <c r="J10" s="2578"/>
      <c r="K10" s="2579"/>
    </row>
    <row r="11" spans="2:11" hidden="1">
      <c r="B11" s="21"/>
      <c r="C11" s="22"/>
      <c r="D11" s="22"/>
      <c r="E11" s="18"/>
      <c r="F11" s="19"/>
      <c r="G11" s="18"/>
      <c r="H11" s="19"/>
      <c r="I11" s="20"/>
      <c r="J11" s="2578"/>
      <c r="K11" s="2579"/>
    </row>
    <row r="12" spans="2:11" hidden="1">
      <c r="B12" s="23"/>
      <c r="C12" s="24"/>
      <c r="D12" s="25"/>
      <c r="E12" s="26"/>
      <c r="F12" s="27"/>
      <c r="G12" s="26"/>
      <c r="H12" s="27"/>
      <c r="I12" s="28"/>
      <c r="J12" s="2571"/>
      <c r="K12" s="2572"/>
    </row>
    <row r="13" spans="2:11">
      <c r="B13" s="29"/>
      <c r="C13" s="30"/>
      <c r="D13" s="30"/>
      <c r="E13" s="30"/>
      <c r="F13" s="30"/>
      <c r="G13" s="30"/>
      <c r="H13" s="30"/>
      <c r="I13" s="30"/>
      <c r="J13" s="30"/>
      <c r="K13" s="30"/>
    </row>
    <row r="14" spans="2:11">
      <c r="B14" s="2563" t="s">
        <v>180</v>
      </c>
      <c r="C14" s="2563"/>
      <c r="D14" s="2563"/>
      <c r="E14" s="31"/>
      <c r="F14" s="31"/>
      <c r="G14" s="32"/>
      <c r="H14" s="31"/>
      <c r="I14" s="33"/>
      <c r="K14" s="13"/>
    </row>
    <row r="15" spans="2:11" hidden="1">
      <c r="B15" s="34" t="s">
        <v>181</v>
      </c>
      <c r="C15" s="35" t="s">
        <v>182</v>
      </c>
      <c r="D15" s="35" t="s">
        <v>170</v>
      </c>
      <c r="E15" s="35" t="s">
        <v>183</v>
      </c>
      <c r="F15" s="35" t="s">
        <v>184</v>
      </c>
      <c r="G15" s="2568" t="s">
        <v>185</v>
      </c>
      <c r="H15" s="2569"/>
      <c r="I15" s="35" t="s">
        <v>186</v>
      </c>
      <c r="J15" s="2568" t="s">
        <v>482</v>
      </c>
      <c r="K15" s="2570"/>
    </row>
    <row r="16" spans="2:11" ht="17.45" hidden="1" customHeight="1">
      <c r="B16" s="36"/>
      <c r="C16" s="37"/>
      <c r="D16" s="38"/>
      <c r="E16" s="39"/>
      <c r="F16" s="39"/>
      <c r="G16" s="2559"/>
      <c r="H16" s="2560"/>
      <c r="I16" s="40"/>
      <c r="J16" s="2564"/>
      <c r="K16" s="2565"/>
    </row>
    <row r="17" spans="2:11" ht="17.45" hidden="1" customHeight="1">
      <c r="B17" s="36"/>
      <c r="C17" s="37"/>
      <c r="D17" s="38"/>
      <c r="E17" s="39"/>
      <c r="F17" s="39"/>
      <c r="G17" s="2559"/>
      <c r="H17" s="2560"/>
      <c r="I17" s="40"/>
      <c r="J17" s="2566"/>
      <c r="K17" s="2567"/>
    </row>
    <row r="18" spans="2:11" hidden="1">
      <c r="B18" s="36"/>
      <c r="C18" s="37"/>
      <c r="D18" s="41"/>
      <c r="E18" s="42"/>
      <c r="F18" s="42"/>
      <c r="G18" s="2559"/>
      <c r="H18" s="2560"/>
      <c r="I18" s="40"/>
      <c r="J18" s="2561"/>
      <c r="K18" s="2562"/>
    </row>
    <row r="19" spans="2:11" hidden="1">
      <c r="B19" s="36"/>
      <c r="C19" s="37"/>
      <c r="D19" s="41"/>
      <c r="E19" s="42"/>
      <c r="F19" s="42"/>
      <c r="G19" s="2559"/>
      <c r="H19" s="2560"/>
      <c r="I19" s="40"/>
      <c r="J19" s="2561"/>
      <c r="K19" s="2562"/>
    </row>
    <row r="20" spans="2:11" hidden="1">
      <c r="B20" s="36"/>
      <c r="C20" s="37"/>
      <c r="D20" s="41"/>
      <c r="E20" s="42"/>
      <c r="F20" s="42"/>
      <c r="G20" s="2559"/>
      <c r="H20" s="2560"/>
      <c r="I20" s="40"/>
      <c r="J20" s="2561"/>
      <c r="K20" s="2562"/>
    </row>
    <row r="21" spans="2:11" hidden="1">
      <c r="B21" s="43"/>
      <c r="C21" s="44"/>
      <c r="D21" s="45"/>
      <c r="E21" s="46"/>
      <c r="F21" s="47"/>
      <c r="G21" s="2555"/>
      <c r="H21" s="2556"/>
      <c r="I21" s="48"/>
      <c r="J21" s="2557"/>
      <c r="K21" s="2558"/>
    </row>
    <row r="22" spans="2:11">
      <c r="B22" s="109" t="s">
        <v>483</v>
      </c>
      <c r="C22" s="102"/>
      <c r="D22" s="103"/>
      <c r="E22" s="104"/>
      <c r="F22" s="105"/>
      <c r="G22" s="106"/>
      <c r="H22" s="106"/>
      <c r="I22" s="107"/>
      <c r="J22" s="108"/>
      <c r="K22" s="108"/>
    </row>
    <row r="23" spans="2:11">
      <c r="K23" s="49"/>
    </row>
    <row r="27" spans="2:11">
      <c r="D27" s="177">
        <f>SUM(D7:D10)</f>
        <v>182.88</v>
      </c>
      <c r="E27" s="50" t="e">
        <f>#REF!=D27</f>
        <v>#REF!</v>
      </c>
    </row>
  </sheetData>
  <mergeCells count="29">
    <mergeCell ref="J12:K12"/>
    <mergeCell ref="B2:D2"/>
    <mergeCell ref="B4:D4"/>
    <mergeCell ref="B5:D5"/>
    <mergeCell ref="E5:E6"/>
    <mergeCell ref="F5:F6"/>
    <mergeCell ref="G5:G6"/>
    <mergeCell ref="J9:K9"/>
    <mergeCell ref="J10:K10"/>
    <mergeCell ref="J11:K11"/>
    <mergeCell ref="H5:I5"/>
    <mergeCell ref="J5:K6"/>
    <mergeCell ref="J8:K8"/>
    <mergeCell ref="J7:K7"/>
    <mergeCell ref="B14:D14"/>
    <mergeCell ref="G16:H16"/>
    <mergeCell ref="J16:K16"/>
    <mergeCell ref="G17:H17"/>
    <mergeCell ref="J17:K17"/>
    <mergeCell ref="G15:H15"/>
    <mergeCell ref="J15:K15"/>
    <mergeCell ref="G21:H21"/>
    <mergeCell ref="J21:K21"/>
    <mergeCell ref="G18:H18"/>
    <mergeCell ref="J18:K18"/>
    <mergeCell ref="G19:H19"/>
    <mergeCell ref="J19:K19"/>
    <mergeCell ref="G20:H20"/>
    <mergeCell ref="J20:K20"/>
  </mergeCells>
  <phoneticPr fontId="6" type="noConversion"/>
  <pageMargins left="0.7" right="0.7" top="0.75" bottom="0.75" header="0.3" footer="0.3"/>
  <pageSetup paperSize="9" scale="47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27</vt:i4>
      </vt:variant>
      <vt:variant>
        <vt:lpstr>이름이 지정된 범위</vt:lpstr>
      </vt:variant>
      <vt:variant>
        <vt:i4>25</vt:i4>
      </vt:variant>
    </vt:vector>
  </HeadingPairs>
  <TitlesOfParts>
    <vt:vector size="52" baseType="lpstr">
      <vt:lpstr>Sign</vt:lpstr>
      <vt:lpstr>BS</vt:lpstr>
      <vt:lpstr>PL</vt:lpstr>
      <vt:lpstr>MR Summary</vt:lpstr>
      <vt:lpstr>Contents</vt:lpstr>
      <vt:lpstr>1-1) 자산개요</vt:lpstr>
      <vt:lpstr>1-2) 리츠개요</vt:lpstr>
      <vt:lpstr>1-3) 보험가입현황</vt:lpstr>
      <vt:lpstr>2.임대현황_공실현황</vt:lpstr>
      <vt:lpstr>2-1) Rent Roll</vt:lpstr>
      <vt:lpstr>2-2) Stacking Plan</vt:lpstr>
      <vt:lpstr>2-3) 신규, 재계약, 만료 현황</vt:lpstr>
      <vt:lpstr>2-4) 청구수납현황</vt:lpstr>
      <vt:lpstr>2-5) 임대시장 현황</vt:lpstr>
      <vt:lpstr>3-1) 재무상태표</vt:lpstr>
      <vt:lpstr>3-2) 손익계산서(월간)</vt:lpstr>
      <vt:lpstr>3-3) 손익계산서(누적)</vt:lpstr>
      <vt:lpstr>3-4) 예산-실적 비교</vt:lpstr>
      <vt:lpstr>3.재무성과분석_성과분석(수입비용현황2)</vt:lpstr>
      <vt:lpstr>4-1) 관리조직도</vt:lpstr>
      <vt:lpstr>4-2) 관리비용 세부</vt:lpstr>
      <vt:lpstr>4-3) 수도광열비 분석</vt:lpstr>
      <vt:lpstr>4-4) 법정검사, 보수 및 CAPEX내역</vt:lpstr>
      <vt:lpstr>4-5) 임차인서비스요청</vt:lpstr>
      <vt:lpstr>별첨1_질권설정 현황</vt:lpstr>
      <vt:lpstr>별첨2_연간 시설점검계획</vt:lpstr>
      <vt:lpstr>별첨3_장기수선충당금 현황</vt:lpstr>
      <vt:lpstr>'1-1) 자산개요'!Print_Area</vt:lpstr>
      <vt:lpstr>'1-2) 리츠개요'!Print_Area</vt:lpstr>
      <vt:lpstr>'1-3) 보험가입현황'!Print_Area</vt:lpstr>
      <vt:lpstr>'2.임대현황_공실현황'!Print_Area</vt:lpstr>
      <vt:lpstr>'2-1) Rent Roll'!Print_Area</vt:lpstr>
      <vt:lpstr>'2-2) Stacking Plan'!Print_Area</vt:lpstr>
      <vt:lpstr>'2-3) 신규, 재계약, 만료 현황'!Print_Area</vt:lpstr>
      <vt:lpstr>'2-4) 청구수납현황'!Print_Area</vt:lpstr>
      <vt:lpstr>'2-5) 임대시장 현황'!Print_Area</vt:lpstr>
      <vt:lpstr>'3.재무성과분석_성과분석(수입비용현황2)'!Print_Area</vt:lpstr>
      <vt:lpstr>'3-1) 재무상태표'!Print_Area</vt:lpstr>
      <vt:lpstr>'3-2) 손익계산서(월간)'!Print_Area</vt:lpstr>
      <vt:lpstr>'3-3) 손익계산서(누적)'!Print_Area</vt:lpstr>
      <vt:lpstr>'3-4) 예산-실적 비교'!Print_Area</vt:lpstr>
      <vt:lpstr>'4-1) 관리조직도'!Print_Area</vt:lpstr>
      <vt:lpstr>'4-2) 관리비용 세부'!Print_Area</vt:lpstr>
      <vt:lpstr>'4-3) 수도광열비 분석'!Print_Area</vt:lpstr>
      <vt:lpstr>'4-4) 법정검사, 보수 및 CAPEX내역'!Print_Area</vt:lpstr>
      <vt:lpstr>'4-5) 임차인서비스요청'!Print_Area</vt:lpstr>
      <vt:lpstr>Contents!Print_Area</vt:lpstr>
      <vt:lpstr>'MR Summary'!Print_Area</vt:lpstr>
      <vt:lpstr>Sign!Print_Area</vt:lpstr>
      <vt:lpstr>'별첨1_질권설정 현황'!Print_Area</vt:lpstr>
      <vt:lpstr>'별첨2_연간 시설점검계획'!Print_Area</vt:lpstr>
      <vt:lpstr>'별첨3_장기수선충당금 현황'!Print_Area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2024-09-12T06:55:31Z</dcterms:modified>
</cp:coreProperties>
</file>